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Default Extension="vml" ContentType="application/vnd.openxmlformats-officedocument.vmlDrawing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sumo" state="visible" r:id="rId4"/>
    <sheet sheetId="2" name="Sintética" state="visible" r:id="rId5"/>
    <sheet sheetId="3" name="Analítica" state="visible" r:id="rId6"/>
    <sheet sheetId="4" name="Parâmetros" state="visible" r:id="rId7"/>
    <sheet sheetId="5" name="Curva ABC" state="visible" r:id="rId8"/>
    <sheet sheetId="6" name="Cronograma" state="visible" r:id="rId9"/>
    <sheet sheetId="7" name="Gantt" state="visible" r:id="rId10"/>
    <sheet sheetId="8" name="Dados IA" state="visible" r:id="rId11"/>
    <sheet sheetId="9" name="Leia-me" state="visible" r:id="rId12"/>
    <sheet sheetId="10" name="_meta" state="veryHidden" r:id="rId13"/>
  </sheets>
  <definedNames>
    <definedName name="p_BDI">Resumo!$B$6</definedName>
    <definedName name="_xlnm.Print_Titles" localSheetId="1">'Sintética'!$1:$6</definedName>
    <definedName name="_xlnm.Print_Titles" localSheetId="2">'Analítica'!$1:$6</definedName>
    <definedName name="_xlnm.Print_Titles" localSheetId="3">'Parâmetros'!$1:$5</definedName>
    <definedName name="_xlnm.Print_Titles" localSheetId="4">'Curva ABC'!$1:$8</definedName>
    <definedName name="_xlnm.Print_Titles" localSheetId="5">'Cronograma'!$1:$4</definedName>
    <definedName name="_xlnm.Print_Titles" localSheetId="7">'Dados IA'!$2:$2</definedName>
  </definedNames>
  <calcPr calcId="171027" fullCalcOnLoad="1"/>
</workbook>
</file>

<file path=xl/comments1.xml><?xml version="1.0" encoding="utf-8"?>
<comments xmlns="http://schemas.openxmlformats.org/spreadsheetml/2006/main">
  <authors>
    <author>Author</author>
  </authors>
  <commentList>
    <comment ref="B6" authorId="0">
      <text>
        <r>
          <t>BDI em % aplicado sobre o custo direto. Edite aqui: preços unitários, totais, ABC e cronograma recalculam. Named range: p_BDI. Referência: Acórdão TCU 2.622/2013 (quadro abaixo).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F8" authorId="0">
      <text>
        <r>
          <t>Qtd editável (amarelo). Custo Total, Preço c/ BDI, subtotais, Sintética, Resumo, ABC e cronograma recalculam em cadeia.</t>
        </r>
      </text>
    </comment>
  </commentList>
</comments>
</file>

<file path=xl/sharedStrings.xml><?xml version="1.0" encoding="utf-8"?>
<sst xmlns="http://schemas.openxmlformats.org/spreadsheetml/2006/main" count="473" uniqueCount="251">
  <si>
    <t>Construtora Modelo Ltda</t>
  </si>
  <si>
    <t>RESUMO DO ORÇAMENTO — ORC-2026-0820</t>
  </si>
  <si>
    <t>Cliente</t>
  </si>
  <si>
    <t>Obra / Local</t>
  </si>
  <si>
    <t>Residência Unifamiliar 120 m² — Uberlândia / MG</t>
  </si>
  <si>
    <t>BDI (%)  ⟵ edite aqui</t>
  </si>
  <si>
    <t>Competência SINAPI</t>
  </si>
  <si>
    <t>2026-05 / MG</t>
  </si>
  <si>
    <t>Nº de etapas / itens</t>
  </si>
  <si>
    <t>7 / 25</t>
  </si>
  <si>
    <t>Custo Direto (sem BDI)</t>
  </si>
  <si>
    <t>BDI (R$)</t>
  </si>
  <si>
    <t>PREÇO DE VENDA</t>
  </si>
  <si>
    <t>Dica: as células AMARELAS são editáveis (BDI aqui, Qtd/Custo na Analítica) — tudo recalcula sozinho. A planilha é protegida só contra edição acidental (senha: raeng).</t>
  </si>
  <si>
    <t>COMPOSIÇÃO DO BDI — Acórdão TCU 2.622/2013</t>
  </si>
  <si>
    <t>AC — Administração Central</t>
  </si>
  <si>
    <t>S — Seguros</t>
  </si>
  <si>
    <t>R — Riscos</t>
  </si>
  <si>
    <t>G — Garantias</t>
  </si>
  <si>
    <t>DF — Despesas Financeiras</t>
  </si>
  <si>
    <t>L — Lucro</t>
  </si>
  <si>
    <t>I — Impostos (PIS/COFINS/ISS/CPRB)</t>
  </si>
  <si>
    <t>BDI pela fórmula TCU</t>
  </si>
  <si>
    <t>BDI aplicado (B6)</t>
  </si>
  <si>
    <t>VERIFICAÇÕES AUTOMÁTICAS</t>
  </si>
  <si>
    <t>Cronograma fecha com o Preço de Venda</t>
  </si>
  <si>
    <t>Curva ABC soma = Custo Direto</t>
  </si>
  <si>
    <t>RESPONSÁVEL TÉCNICO PELO ORÇAMENTO</t>
  </si>
  <si>
    <t>Nome</t>
  </si>
  <si>
    <t>[RESPONSÁVEL TÉCNICO]</t>
  </si>
  <si>
    <t>Título / Registro</t>
  </si>
  <si>
    <t>Engenheiro Civil · [CREA/CAU]</t>
  </si>
  <si>
    <t>ART/RRT</t>
  </si>
  <si>
    <t>BR20260000000</t>
  </si>
  <si>
    <t>Empresa</t>
  </si>
  <si>
    <t>___________________________________</t>
  </si>
  <si>
    <t>[nome] — [CREA/CAU]</t>
  </si>
  <si>
    <t>PLANILHA SINTÉTICA (por etapa) — ORC-2026-0820</t>
  </si>
  <si>
    <t>Cliente: Construtora Modelo Ltda   |   Residência Unifamiliar 120 m²</t>
  </si>
  <si>
    <t>Data-base: SINAPI 2026-05/MG — não desonerado   ·   Emissão: 07/07/2026</t>
  </si>
  <si>
    <t>Item</t>
  </si>
  <si>
    <t>Etapa</t>
  </si>
  <si>
    <t>Custo Direto</t>
  </si>
  <si>
    <t>BDI %</t>
  </si>
  <si>
    <t>Preço de Venda</t>
  </si>
  <si>
    <t>Peso %</t>
  </si>
  <si>
    <t>1.0</t>
  </si>
  <si>
    <t>Serviços Preliminares</t>
  </si>
  <si>
    <t>2.0</t>
  </si>
  <si>
    <t>Fundações</t>
  </si>
  <si>
    <t>3.0</t>
  </si>
  <si>
    <t>Estrutura de Concreto Armado</t>
  </si>
  <si>
    <t>4.0</t>
  </si>
  <si>
    <t>Alvenaria e Vedações</t>
  </si>
  <si>
    <t>5.0</t>
  </si>
  <si>
    <t>Cobertura</t>
  </si>
  <si>
    <t>6.0</t>
  </si>
  <si>
    <t>Revestimentos e Acabamentos</t>
  </si>
  <si>
    <t>7.0</t>
  </si>
  <si>
    <t>Instalações</t>
  </si>
  <si>
    <t>TOTAL</t>
  </si>
  <si>
    <t>PLANILHA ORÇAMENTÁRIA ANALÍTICA — ORC-2026-0820 · Residência Unifamiliar — 120 m²</t>
  </si>
  <si>
    <t>Cliente: Construtora Modelo Ltda   |   Obra: Residência Unifamiliar 120 m² (Uberlândia / MG)</t>
  </si>
  <si>
    <t>SINAPI 2026-05/MG   |   BDI 25,97%   |   Não desonerado</t>
  </si>
  <si>
    <t>Código</t>
  </si>
  <si>
    <t>Fonte</t>
  </si>
  <si>
    <t>Descrição</t>
  </si>
  <si>
    <t>Und</t>
  </si>
  <si>
    <t>Qtd</t>
  </si>
  <si>
    <t>Custo Unit</t>
  </si>
  <si>
    <t>Custo Total</t>
  </si>
  <si>
    <t>Preço Unit c/BDI</t>
  </si>
  <si>
    <t>Preço Total c/BDI</t>
  </si>
  <si>
    <t>1.0  Serviços Preliminares</t>
  </si>
  <si>
    <t>98525</t>
  </si>
  <si>
    <t>SINAPI</t>
  </si>
  <si>
    <t>Placa de obra em chapa galvanizada</t>
  </si>
  <si>
    <t>m²</t>
  </si>
  <si>
    <t>99059</t>
  </si>
  <si>
    <t>Limpeza mecanizada do terreno</t>
  </si>
  <si>
    <t>96995</t>
  </si>
  <si>
    <t>Locação de obra com gabarito de tábuas</t>
  </si>
  <si>
    <t>Subtotal — Serviços Preliminares</t>
  </si>
  <si>
    <t>2.0  Fundações</t>
  </si>
  <si>
    <t>96523</t>
  </si>
  <si>
    <t>Escavação manual de valas (fundação)</t>
  </si>
  <si>
    <t>m³</t>
  </si>
  <si>
    <t>94965</t>
  </si>
  <si>
    <t>Concreto magro para lastro, e=5cm</t>
  </si>
  <si>
    <t>94970</t>
  </si>
  <si>
    <t>Concreto usinado fck=25MPa para sapatas</t>
  </si>
  <si>
    <t>92449</t>
  </si>
  <si>
    <t>Fôrma de madeira para fundação</t>
  </si>
  <si>
    <t>92759</t>
  </si>
  <si>
    <t>Armação de aço CA-50 (fundação)</t>
  </si>
  <si>
    <t>kg</t>
  </si>
  <si>
    <t>Subtotal — Fundações</t>
  </si>
  <si>
    <t>3.0  Estrutura de Concreto Armado</t>
  </si>
  <si>
    <t>94972</t>
  </si>
  <si>
    <t>Concreto usinado fck=25MPa (pilares/vigas/lajes)</t>
  </si>
  <si>
    <t>92447</t>
  </si>
  <si>
    <t>Fôrma de madeira para estrutura</t>
  </si>
  <si>
    <t>92761</t>
  </si>
  <si>
    <t>Armação de aço CA-50 (estrutura)</t>
  </si>
  <si>
    <t>98557</t>
  </si>
  <si>
    <t>Laje pré-moldada para piso/forro</t>
  </si>
  <si>
    <t>Subtotal — Estrutura de Concreto Armado</t>
  </si>
  <si>
    <t>4.0  Alvenaria e Vedações</t>
  </si>
  <si>
    <t>103333</t>
  </si>
  <si>
    <t>Alvenaria de bloco cerâmico 14x19x29cm</t>
  </si>
  <si>
    <t>93183</t>
  </si>
  <si>
    <t>Vergas e contravergas em concreto armado</t>
  </si>
  <si>
    <t>m</t>
  </si>
  <si>
    <t>Subtotal — Alvenaria e Vedações</t>
  </si>
  <si>
    <t>5.0  Cobertura</t>
  </si>
  <si>
    <t>92541</t>
  </si>
  <si>
    <t>Estrutura de madeira para telha cerâmica</t>
  </si>
  <si>
    <t>94216</t>
  </si>
  <si>
    <t>Telha cerâmica tipo portuguesa</t>
  </si>
  <si>
    <t>Subtotal — Cobertura</t>
  </si>
  <si>
    <t>6.0  Revestimentos e Acabamentos</t>
  </si>
  <si>
    <t>87905</t>
  </si>
  <si>
    <t>Chapisco em paredes internas/externas</t>
  </si>
  <si>
    <t>87529</t>
  </si>
  <si>
    <t>Massa única (reboco) para recebimento de pintura</t>
  </si>
  <si>
    <t>87703</t>
  </si>
  <si>
    <t>Contrapiso em argamassa, e=4cm</t>
  </si>
  <si>
    <t>87263</t>
  </si>
  <si>
    <t>Revestimento cerâmico (porcelanato) para piso</t>
  </si>
  <si>
    <t>88489</t>
  </si>
  <si>
    <t>Pintura látex acrílica, 2 demãos</t>
  </si>
  <si>
    <t>87275</t>
  </si>
  <si>
    <t>Revestimento cerâmico de parede (áreas molhadas)</t>
  </si>
  <si>
    <t>Subtotal — Revestimentos e Acabamentos</t>
  </si>
  <si>
    <t>7.0  Instalações</t>
  </si>
  <si>
    <t>89714</t>
  </si>
  <si>
    <t>Ponto de instalação hidrossanitária</t>
  </si>
  <si>
    <t>pto</t>
  </si>
  <si>
    <t>93128</t>
  </si>
  <si>
    <t>Ponto de instalação elétrica</t>
  </si>
  <si>
    <t>—</t>
  </si>
  <si>
    <t>Própria</t>
  </si>
  <si>
    <t>Louças, metais e acessórios (verba)</t>
  </si>
  <si>
    <t>vb</t>
  </si>
  <si>
    <t>Subtotal — Instalações</t>
  </si>
  <si>
    <t>CUSTO DIRETO (sem BDI)</t>
  </si>
  <si>
    <t>BDI (25,97%)</t>
  </si>
  <si>
    <t>PREÇO DE VENDA (com BDI)</t>
  </si>
  <si>
    <t>PARÂMETROS — MATRIZ DE DESEMBOLSO (5 meses) — ORC-2026-0820</t>
  </si>
  <si>
    <t>Edite os % (células amarelas): o Cronograma e a Curva S recalculam sozinhos. Cada linha deve somar 100% — a coluna Check avisa.</t>
  </si>
  <si>
    <t>Mês 1</t>
  </si>
  <si>
    <t>Mês 2</t>
  </si>
  <si>
    <t>Mês 3</t>
  </si>
  <si>
    <t>Mês 4</t>
  </si>
  <si>
    <t>Mês 5</t>
  </si>
  <si>
    <t>Soma</t>
  </si>
  <si>
    <t>Check</t>
  </si>
  <si>
    <t>1.0 Serviços Preliminares</t>
  </si>
  <si>
    <t>2.0 Fundações</t>
  </si>
  <si>
    <t>3.0 Estrutura de Concreto Armado</t>
  </si>
  <si>
    <t>4.0 Alvenaria e Vedações</t>
  </si>
  <si>
    <t>5.0 Cobertura</t>
  </si>
  <si>
    <t>6.0 Revestimentos e Acabamentos</t>
  </si>
  <si>
    <t>7.0 Instalações</t>
  </si>
  <si>
    <t>CURVA ABC — ORC-2026-0820</t>
  </si>
  <si>
    <t>Classe</t>
  </si>
  <si>
    <t>Itens</t>
  </si>
  <si>
    <t>Valor</t>
  </si>
  <si>
    <t>% do total</t>
  </si>
  <si>
    <t>Classe A</t>
  </si>
  <si>
    <t>Classe B</t>
  </si>
  <si>
    <t>Classe C</t>
  </si>
  <si>
    <t>%</t>
  </si>
  <si>
    <t>% Acum.</t>
  </si>
  <si>
    <t>Ordem das linhas = emissão. Valores, %, classes e o resumo acima recalculam ao editar Qtd/Custo na Analítica.</t>
  </si>
  <si>
    <t>CRONOGRAMA FÍSICO-FINANCEIRO (5 meses, com BDI) — ORC-2026-0820</t>
  </si>
  <si>
    <t>Total</t>
  </si>
  <si>
    <t>TOTAL / MÊS</t>
  </si>
  <si>
    <t>% acumulado</t>
  </si>
  <si>
    <t>CRONOGRAMA / GANTT — ORC-2026-0820</t>
  </si>
  <si>
    <t>Estimado pelo agente: 103 dias úteis (~21 semanas) · Início 07/07/2026 → Fim 27/11/2026. Edite no app (aba Cronograma).</t>
  </si>
  <si>
    <t>Categoria</t>
  </si>
  <si>
    <t>Dias</t>
  </si>
  <si>
    <t>Início</t>
  </si>
  <si>
    <t>Fim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</si>
  <si>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</si>
  <si>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</si>
  <si>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</si>
  <si>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</si>
  <si>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</si>
  <si>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</si>
  <si>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</si>
  <si>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</si>
  <si>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</si>
  <si>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</si>
  <si>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</si>
  <si>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</si>
  <si>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</si>
  <si>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</si>
  <si>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</si>
  <si>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</si>
  <si>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</si>
  <si>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</si>
  <si>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</si>
  <si>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</si>
  <si>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</si>
  <si>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Preliminares/Canteiro</t>
  </si>
  <si>
    <t>07/07/2026</t>
  </si>
  <si>
    <t>09/07/2026</t>
  </si>
  <si>
    <t>Estrutura/Concreto</t>
  </si>
  <si>
    <t>14/08/2026</t>
  </si>
  <si>
    <t>05/08/2026</t>
  </si>
  <si>
    <t>12/11/2026</t>
  </si>
  <si>
    <t>Alvenaria</t>
  </si>
  <si>
    <t>14/10/2026</t>
  </si>
  <si>
    <t>22/10/2026</t>
  </si>
  <si>
    <t>21/10/2026</t>
  </si>
  <si>
    <t>27/10/2026</t>
  </si>
  <si>
    <t>Revestimentos</t>
  </si>
  <si>
    <t>26/10/2026</t>
  </si>
  <si>
    <t>27/11/2026</t>
  </si>
  <si>
    <t>18/11/2026</t>
  </si>
  <si>
    <t>20/11/2026</t>
  </si>
  <si>
    <t>BASE DE DADOS DO ORÇAMENTO (para análise e IA/Copilot) — espelho vivo da aba Analítica</t>
  </si>
  <si>
    <t>Codigo</t>
  </si>
  <si>
    <t>Descricao</t>
  </si>
  <si>
    <t>CustoUnit</t>
  </si>
  <si>
    <t>CustoTotal</t>
  </si>
  <si>
    <t>PrecoUnitBDI</t>
  </si>
  <si>
    <t>PrecoTotalBDI</t>
  </si>
  <si>
    <t>ORÇAPRO — COMO USAR ESTA PLANILHA</t>
  </si>
  <si>
    <t>ORC-2026-0820 · Residência Unifamiliar — 120 m²   |   SINAPI 2026-05/MG   |   Não desonerado</t>
  </si>
  <si>
    <t/>
  </si>
  <si>
    <t>✏️  O QUE VOCÊ PODE EDITAR (células AMARELAS):</t>
  </si>
  <si>
    <t xml:space="preserve">     • Resumo!B6 — o BDI aplicado (%). Tudo recalcula: preços unitários, totais, curva ABC, cronograma.</t>
  </si>
  <si>
    <t xml:space="preserve">     • Analítica, colunas Qtd e Custo Unit — simule quantidades e preços negociados.</t>
  </si>
  <si>
    <t xml:space="preserve">     • Resumo, parcelas do quadro BDI — a linha "BDI pela fórmula TCU" confere na hora.</t>
  </si>
  <si>
    <t xml:space="preserve">     • Parâmetros — matriz de desembolso (% de cada etapa por mês): o Cronograma e a Curva S seguem.</t>
  </si>
  <si>
    <t>🔒  PROTEÇÃO: as demais células têm fórmula e estão travadas só contra edição acidental.</t>
  </si>
  <si>
    <t xml:space="preserve">     Senha para desproteger (Revisão → Desproteger Planilha): raeng</t>
  </si>
  <si>
    <t>✅  VERIFICAÇÕES AUTOMÁTICAS: o fim da aba Resumo confere se os totais seguem consistentes</t>
  </si>
  <si>
    <t xml:space="preserve">     após suas edições ("OK" verde · "⚠ verificar" vermelho).</t>
  </si>
  <si>
    <t>📷  A aba Gráficos contém IMAGENS da emissão (não recalculam). Os dados vivos estão nas abas.</t>
  </si>
  <si>
    <t>🤖  DICA (Excel 365/Copilot): a aba "Dados IA" tem a tabela tblItens pronta para análise.</t>
  </si>
  <si>
    <t xml:space="preserve">     Experimente perguntar: "quais os 5 itens de maior impacto no custo?" ou</t>
  </si>
  <si>
    <t xml:space="preserve">     "faça um gráfico de custo por etapa usando tblItens".</t>
  </si>
  <si>
    <t>📞  RA ENGENHARIA ESPECIAL LTDA — CNPJ 59.507.116/0001-64 · Uberlândia/MG</t>
  </si>
  <si>
    <t xml:space="preserve">     Eng. Civil Rogério Alves de Souza · CREA-MG 323736 · WhatsApp (34) 9286-9383</t>
  </si>
  <si>
    <t xml:space="preserve">     Gerado pelo OrçaPRO — orçamento de obras com bases oficiais e IA.</t>
  </si>
  <si>
    <t>{"v":1,"tipo":"orcapro-meta","partes":1,"schemaVersao":3,"id":"orc_mra3phu1b3okv8","numero":"ORC-2026-0820","geradoEm":"2026-07-07T03:40:23.308Z"}</t>
  </si>
  <si>
    <t>{"id":"orc_mra3phu1b3okv8","schemaVersao":3,"numero":"ORC-2026-0820","nome":"Residência Unifamiliar — 120 m²","cliente":{"nome":"Construtora Modelo Ltda","doc":"00.000.000/0001-00","contato":"contato@construtoramodelo.com.br"},"obra":{"nome":"Residência Unifamiliar 120 m²","local":"Uberlândia / MG","regime":"Empreitada"},"competenciaSinapi":"2026-05","uf":"MG","desonerado":false,"bdi":{"modeloId":"dnit","params":{"AC":4.09,"S":0.74,"R":0.97,"G":0,"DF":1.21,"L":6.64,"I":9.35},"percentual":25.97},"comercial":{"apresentacao":"","condicoesPagamento":"Pagamento por medição mensal dos serviços executados, com vencimento em 5 dias úteis após a aprovação da medição.","prazoExecucao":"A combinar conforme cronograma físico-financeiro.","validadeProposta":"15 dias corridos a contar da data de emissão.","garantia":"Garantia legal de 5 (cinco) anos para a solidez e segurança da obra, nos termos do art. 618 do Código Civil.","incluso":"Fornecimento de materiais e mão de obra dos serviços orçados;\nLeis sociais e encargos trabalhistas;\nFerramentas e equipamentos de execução;\nLimpeza periódica e final da obra.","excluso":"Projetos complementares e taxas de aprovação;\nLigações definitivas de água, energia e esgoto;\nMobiliário, paisagismo e itens de decoração;\nServiços não descritos expressamente nesta proposta."},"cronogramaMeses":5,"etapas":[{"id":"eta_mra3phu2zt08jy","codigo":"1.0","nome":"Serviços Preliminares","itens":[{"id":"itm_mra3phu2d666zp","origem":"SINAPI","baseFonte":"SINAPI","codigo":"98525","descricao":"Placa de obra em chapa galvanizada","unidade":"m²","quantidade":6,"custoUnitario":612,"custoMO":153,"custoMAT":428.4,"custoEQ":30.6},{"id":"itm_mra3phu2tt3ax3","origem":"SINAPI","baseFonte":"SINAPI","codigo":"99059","descricao":"Limpeza mecanizada do terreno","unidade":"m²","quantidade":120,"custoUnitario":5.8,"custoMO":1.16,"custoMAT":0,"custoEQ":4.64},{"id":"itm_mra3phu2t543dc","origem":"SINAPI","baseFonte":"SINAPI","codigo":"96995","descricao":"Locação de obra com gabarito de tábuas","unidade":"m²","quantidade":120,"custoUnitario":28.4,"custoMO":18.46,"custoMAT":8.52,"custoEQ":1.42}]},{"id":"eta_mra3phu29bgrua","codigo":"2.0","nome":"Fundações","itens":[{"id":"itm_mra3phu22deova","origem":"SINAPI","baseFonte":"SINAPI","codigo":"96523","descricao":"Escavação manual de valas (fundação)","unidade":"m³","quantidade":18,"custoUnitario":95,"custoMO":85.5,"custoMAT":0,"custoEQ":9.5},{"id":"itm_mra3phu2rv025b","origem":"SINAPI","baseFonte":"SINAPI","codigo":"94965","descricao":"Concreto magro para lastro, e=5cm","unidade":"m³","quantidade":4,"custoUnitario":520,"custoMO":130,"custoMAT":364,"custoEQ":26},{"id":"itm_mra3phu2kyka7w","origem":"SINAPI","baseFonte":"SINAPI","codigo":"94970","descricao":"Concreto usinado fck=25MPa para sapatas","unidade":"m³","quantidade":12,"custoUnitario":620,"custoMO":155,"custoMAT":434,"custoEQ":31},{"id":"itm_mra3phu20jr34w","origem":"SINAPI","baseFonte":"SINAPI","codigo":"92449","descricao":"Fôrma de madeira para fundação","unidade":"m²","quantidade":60,"custoUnitario":78,"custoMO":42.9,"custoMAT":32.76,"custoEQ":2.34},{"id":"itm_mra3phu25uzhyc","origem":"SINAPI","baseFonte":"SINAPI","codigo":"92759","descricao":"Armação de aço CA-50 (fundação)","unidade":"kg","quantidade":850,"custoUnitario":12.4,"custoMO":3.1,"custoMAT":9.05,"custoEQ":0.25}]},{"id":"eta_mra3phu2nbcy76","codigo":"3.0","nome":"Estrutura de Concreto Armado","itens":[{"id":"itm_mra3phu2jkpq2r","origem":"SINAPI","baseFonte":"SINAPI","codigo":"94972","descricao":"Concreto usinado fck=25MPa (pilares/vigas/lajes)","unidade":"m³","quantidade":28,"custoUnitario":640,"custoMO":160,"custoMAT":448,"custoEQ":32},{"id":"itm_mra3phu2aqe9ws","origem":"SINAPI","baseFonte":"SINAPI","codigo":"92447","descricao":"Fôrma de madeira para estrutura","unidade":"m²","quantidade":320,"custoUnitario":82,"custoMO":45.1,"custoMAT":34.44,"custoEQ":2.46},{"id":"itm_mra3phu2u672xs","origem":"SINAPI","baseFonte":"SINAPI","codigo":"92761","descricao":"Armação de aço CA-50 (estrutura)","unidade":"kg","quantidade":2100,"custoUnitario":12.4,"custoMO":3.1,"custoMAT":9.05,"custoEQ":0.25},{"id":"itm_mra3phu23fuxjt","origem":"SINAPI","baseFonte":"SINAPI","codigo":"98557","descricao":"Laje pré-moldada para piso/forro","unidade":"m²","quantidade":90,"custoUnitario":145,"custoMO":50.75,"custoMAT":89.9,"custoEQ":4.35}]},{"id":"eta_mra3phu2pil4u6","codigo":"4.0","nome":"Alvenaria e Vedações","itens":[{"id":"itm_mra3phu2oqqo8h","origem":"SINAPI","baseFonte":"SINAPI","codigo":"103333","descricao":"Alvenaria de bloco cerâmico 14x19x29cm","unidade":"m²","quantidade":240,"custoUnitario":78,"custoMO":35.1,"custoMAT":41.34,"custoEQ":1.56},{"id":"itm_mra3phu2jns533","origem":"SINAPI","baseFonte":"SINAPI","codigo":"93183","descricao":"Vergas e contravergas em concreto armado","unidade":"m","quantidade":40,"custoUnitario":38,"custoMO":17.1,"custoMAT":20.14,"custoEQ":0.76}]},{"id":"eta_mra3phu216nar4","codigo":"5.0","nome":"Cobertura","itens":[{"id":"itm_mra3phu2zu1fu6","origem":"SINAPI","baseFonte":"SINAPI","codigo":"92541","descricao":"Estrutura de madeira para telha cerâmica","unidade":"m²","quantidade":150,"custoUnitario":92,"custoMO":41.4,"custoMAT":48.76,"custoEQ":1.84},{"id":"itm_mra3phu2wc1lup","origem":"SINAPI","baseFonte":"SINAPI","codigo":"94216","descricao":"Telha cerâmica tipo portuguesa","unidade":"m²","quantidade":150,"custoUnitario":48,"custoMO":19.2,"custoMAT":27.84,"custoEQ":0.96}]},{"id":"eta_mra3phu2yphwgd","codigo":"6.0","nome":"Revestimentos e Acabamentos","itens":[{"id":"itm_mra3phu2x3lxew","origem":"SINAPI","baseFonte":"SINAPI","codigo":"87905","descricao":"Chapisco em paredes internas/externas","unidade":"m²","quantidade":480,"custoUnitario":9.8,"custoMO":5.39,"custoMAT":4.21,"custoEQ":0.2},{"id":"itm_mra3phu2gu777r","origem":"SINAPI","baseFonte":"SINAPI","codigo":"87529","descricao":"Massa única (reboco) para recebimento de pintura","unidade":"m²","quantidade":480,"custoUnitario":38,"custoMO":22.04,"custoMAT":15.2,"custoEQ":0.76},{"id":"itm_mra3phu2cvdcvm","origem":"SINAPI","baseFonte":"SINAPI","codigo":"87703","descricao":"Contrapiso em argamassa, e=4cm","unidade":"m²","quantidade":120,"custoUnitario":42,"custoMO":18.9,"custoMAT":22.26,"custoEQ":0.84},{"id":"itm_mra3phu2scaeyr","origem":"SINAPI","baseFonte":"SINAPI","codigo":"87263","descricao":"Revestimento cerâmico (porcelanato) para piso","unidade":"m²","quantidade":120,"custoUnitario":118,"custoMO":47.2,"custoMAT":68.44,"custoEQ":2.36},{"id":"itm_mra3phu2vadibb","origem":"SINAPI","baseFonte":"SINAPI","codigo":"88489","descricao":"Pintura látex acrílica, 2 demãos","unidade":"m²","quantidade":480,"custoUnitario":26,"custoMO":14.3,"custoMAT":11.18,"custoEQ":0.52},{"id":"itm_mra3phu21vyecp","origem":"SINAPI","baseFonte":"SINAPI","codigo":"87275","descricao":"Revestimento cerâmico de parede (áreas molhadas)","unidade":"m²","quantidade":60,"custoUnitario":85,"custoMO":38.25,"custoMAT":45.05,"custoEQ":1.7}]},{"id":"eta_mra3phu2x3p0bn","codigo":"7.0","nome":"Instalações","itens":[{"id":"itm_mra3phu27spao5","origem":"SINAPI","baseFonte":"SINAPI","codigo":"89714","descricao":"Ponto de instalação hidrossanitária","unidade":"pto","quantidade":28,"custoUnitario":185,"custoMO":92.5,"custoMAT":86.95,"custoEQ":5.55},{"id":"itm_mra3phu2lprqeo","origem":"SINAPI","baseFonte":"SINAPI","codigo":"93128","descricao":"Ponto de instalação elétrica","unidade":"pto","quantidade":42,"custoUnitario":142,"custoMO":71,"custoMAT":66.74,"custoEQ":4.26},{"id":"itm_mra3phu2iavbxc","origem":"PROPRIO","baseFonte":null,"codigo":"—","descricao":"Louças, metais e acessórios (verba)","unidade":"vb","quantidade":1,"custoUnitario":6800,"custoMO":1360,"custoMAT":5304,"custoEQ":136}]}],"criadoEm":"2026-07-07T03:40:23.308Z","atualizadoEm":"2026-07-07T03:40:23.308Z","art":"BR20260000000","cronograma":{"params":{"equipes":4,"paralelismo":0.3,"diasUteisSemana":5,"custoDiaEquipe":750}}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</si>
</sst>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R$ #,##0.00"/>
    <numFmt numFmtId="165" formatCode="0.00&quot;%&quot;"/>
    <numFmt numFmtId="166" formatCode="0.0%"/>
  </numFmts>
  <fonts count="26" x14ac:knownFonts="1">
    <font>
      <color theme="1"/>
      <family val="2"/>
      <scheme val="minor"/>
      <sz val="11"/>
      <name val="Calibri"/>
    </font>
    <font>
      <b/>
      <color rgb="FF0F2740"/>
      <sz val="16"/>
    </font>
    <font>
      <b/>
      <color rgb="FF64748B"/>
      <sz val="11"/>
    </font>
    <font>
      <b/>
      <color rgb="FF0F2740"/>
    </font>
    <font>
      <color rgb="FF1E293B"/>
      <sz val="11"/>
    </font>
    <font>
      <b/>
    </font>
    <font>
      <b/>
      <color rgb="FF1E293B"/>
      <sz val="11"/>
    </font>
    <font>
      <b/>
      <color rgb="FFFFFFFF"/>
    </font>
    <font>
      <b/>
      <color rgb="FFFFFFFF"/>
      <sz val="13"/>
    </font>
    <font>
      <i/>
      <color rgb="FF94A3B8"/>
      <sz val="9"/>
    </font>
    <font>
      <sz val="9"/>
    </font>
    <font>
      <b/>
      <color rgb="FF16A34A"/>
    </font>
    <font>
      <color rgb="FF64748B"/>
      <sz val="9"/>
    </font>
    <font>
      <b/>
      <color rgb="FF0F2740"/>
      <sz val="14"/>
    </font>
    <font>
      <b/>
      <sz val="11"/>
    </font>
    <font>
      <i/>
      <color rgb="FF94A3B8"/>
      <sz val="8"/>
    </font>
    <font>
      <b/>
      <color rgb="FFFFFFFF"/>
      <sz val="10"/>
    </font>
    <font>
      <b/>
      <color rgb="FFFFFFFF"/>
      <sz val="12"/>
    </font>
    <font>
      <b/>
      <color rgb="FF64748B"/>
    </font>
    <font>
      <b/>
      <color rgb="FFF59E0B"/>
    </font>
    <font>
      <b/>
      <color rgb="FF94A3B8"/>
    </font>
    <font>
      <color rgb="FF64748B"/>
    </font>
    <font>
      <i/>
      <color rgb="FF64748B"/>
      <sz val="9"/>
    </font>
    <font>
      <b/>
      <color rgb="FF0F2740"/>
      <sz val="11"/>
    </font>
    <font>
      <color rgb="FF1E293B"/>
      <sz val="10"/>
    </font>
    <font>
      <b/>
      <color rgb="FF1E293B"/>
      <sz val="10"/>
    </font>
  </fonts>
  <fills count="14">
    <fill>
      <patternFill patternType="none"/>
    </fill>
    <fill>
      <patternFill patternType="gray125"/>
    </fill>
    <fill>
      <patternFill patternType="solid">
        <fgColor rgb="FFFFF7CC"/>
      </patternFill>
    </fill>
    <fill>
      <patternFill patternType="solid">
        <fgColor rgb="FF0F2740"/>
      </patternFill>
    </fill>
    <fill>
      <patternFill patternType="solid">
        <fgColor rgb="FFFFF9E0"/>
      </patternFill>
    </fill>
    <fill>
      <patternFill patternType="solid">
        <fgColor rgb="FFEFF3F8"/>
      </patternFill>
    </fill>
    <fill>
      <patternFill patternType="solid">
        <fgColor rgb="FF2E6F9E"/>
      </patternFill>
    </fill>
    <fill>
      <patternFill patternType="solid">
        <fgColor rgb="FFE2E8F0"/>
      </patternFill>
    </fill>
    <fill>
      <patternFill patternType="solid">
        <fgColor rgb="FF64748B"/>
      </patternFill>
    </fill>
    <fill>
      <patternFill patternType="solid">
        <fgColor rgb="FF2563EB"/>
      </patternFill>
    </fill>
    <fill>
      <patternFill patternType="solid">
        <fgColor rgb="FFDC2626"/>
      </patternFill>
    </fill>
    <fill>
      <patternFill patternType="solid">
        <fgColor rgb="FF0891B2"/>
      </patternFill>
    </fill>
    <fill>
      <patternFill patternType="solid">
        <fgColor rgb="FF16A34A"/>
      </patternFill>
    </fill>
    <fill>
      <patternFill patternType="solid">
        <fgColor rgb="FFCA8A04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2" fontId="5" fillId="2" borderId="1" xfId="0" applyNumberFormat="1" applyFont="1" applyFill="1" applyBorder="1" applyProtection="1">
      <protection locked="0"/>
    </xf>
    <xf numFmtId="164" fontId="6" fillId="0" borderId="1" xfId="0" applyNumberFormat="1" applyFont="1" applyBorder="1"/>
    <xf numFmtId="0" fontId="7" fillId="3" borderId="1" xfId="0" applyFont="1" applyFill="1" applyBorder="1"/>
    <xf numFmtId="164" fontId="8" fillId="3" borderId="1" xfId="0" applyNumberFormat="1" applyFont="1" applyFill="1" applyBorder="1"/>
    <xf numFmtId="0" fontId="9" fillId="0" borderId="0" xfId="0" applyFont="1" applyAlignment="1">
      <alignment vertical="top" wrapText="1"/>
    </xf>
    <xf numFmtId="0" fontId="3" fillId="0" borderId="0" xfId="0" applyFont="1"/>
    <xf numFmtId="10" fontId="4" fillId="4" borderId="1" xfId="0" applyNumberFormat="1" applyFont="1" applyFill="1" applyBorder="1" applyProtection="1">
      <protection locked="0"/>
    </xf>
    <xf numFmtId="10" fontId="6" fillId="0" borderId="1" xfId="0" applyNumberFormat="1" applyFont="1" applyBorder="1"/>
    <xf numFmtId="0" fontId="10" fillId="0" borderId="1" xfId="0" applyFont="1" applyBorder="1"/>
    <xf numFmtId="0" fontId="11" fillId="0" borderId="1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5" borderId="1" xfId="0" applyFill="1" applyBorder="1"/>
    <xf numFmtId="164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7" fillId="3" borderId="0" xfId="0" applyFont="1" applyFill="1"/>
    <xf numFmtId="164" fontId="7" fillId="3" borderId="0" xfId="0" applyNumberFormat="1" applyFont="1" applyFill="1"/>
    <xf numFmtId="0" fontId="9" fillId="0" borderId="0" xfId="0" applyFont="1"/>
    <xf numFmtId="0" fontId="7" fillId="6" borderId="1" xfId="0" applyFont="1" applyFill="1" applyBorder="1"/>
    <xf numFmtId="0" fontId="0" fillId="0" borderId="1" xfId="0" applyBorder="1" applyAlignment="1">
      <alignment horizontal="center"/>
    </xf>
    <xf numFmtId="4" fontId="0" fillId="4" borderId="1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0" fontId="0" fillId="5" borderId="1" xfId="0" applyFill="1" applyBorder="1" applyAlignment="1">
      <alignment horizontal="center"/>
    </xf>
    <xf numFmtId="0" fontId="5" fillId="0" borderId="0" xfId="0" applyFont="1"/>
    <xf numFmtId="164" fontId="5" fillId="7" borderId="0" xfId="0" applyNumberFormat="1" applyFont="1" applyFill="1"/>
    <xf numFmtId="164" fontId="5" fillId="0" borderId="0" xfId="0" applyNumberFormat="1" applyFont="1"/>
    <xf numFmtId="164" fontId="0" fillId="0" borderId="0" xfId="0" applyNumberFormat="1"/>
    <xf numFmtId="0" fontId="17" fillId="3" borderId="0" xfId="0" applyFont="1" applyFill="1"/>
    <xf numFmtId="164" fontId="17" fillId="3" borderId="0" xfId="0" applyNumberFormat="1" applyFont="1" applyFill="1"/>
    <xf numFmtId="166" fontId="0" fillId="4" borderId="1" xfId="0" applyNumberFormat="1" applyFill="1" applyBorder="1" applyProtection="1">
      <protection locked="0"/>
    </xf>
    <xf numFmtId="166" fontId="5" fillId="0" borderId="1" xfId="0" applyNumberFormat="1" applyFont="1" applyBorder="1"/>
    <xf numFmtId="0" fontId="18" fillId="0" borderId="0" xfId="0" applyFont="1"/>
    <xf numFmtId="0" fontId="11" fillId="0" borderId="0" xfId="0" applyFont="1"/>
    <xf numFmtId="166" fontId="0" fillId="0" borderId="0" xfId="0" applyNumberFormat="1"/>
    <xf numFmtId="0" fontId="19" fillId="0" borderId="0" xfId="0" applyFont="1"/>
    <xf numFmtId="0" fontId="20" fillId="0" borderId="0" xfId="0" applyFont="1"/>
    <xf numFmtId="0" fontId="11" fillId="0" borderId="1" xfId="0" applyFont="1" applyBorder="1" applyAlignment="1">
      <alignment horizontal="center"/>
    </xf>
    <xf numFmtId="4" fontId="0" fillId="0" borderId="1" xfId="0" applyNumberFormat="1" applyBorder="1"/>
    <xf numFmtId="0" fontId="11" fillId="5" borderId="1" xfId="0" applyFont="1" applyFill="1" applyBorder="1" applyAlignment="1">
      <alignment horizontal="center"/>
    </xf>
    <xf numFmtId="4" fontId="0" fillId="5" borderId="1" xfId="0" applyNumberFormat="1" applyFill="1" applyBorder="1"/>
    <xf numFmtId="0" fontId="19" fillId="0" borderId="1" xfId="0" applyFont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164" fontId="5" fillId="0" borderId="1" xfId="0" applyNumberFormat="1" applyFont="1" applyBorder="1"/>
    <xf numFmtId="164" fontId="5" fillId="5" borderId="1" xfId="0" applyNumberFormat="1" applyFont="1" applyFill="1" applyBorder="1"/>
    <xf numFmtId="166" fontId="21" fillId="0" borderId="0" xfId="0" applyNumberFormat="1" applyFont="1"/>
    <xf numFmtId="0" fontId="22" fillId="0" borderId="0" xfId="0" applyFont="1"/>
    <xf numFmtId="0" fontId="16" fillId="3" borderId="1" xfId="0" applyFont="1" applyFill="1" applyBorder="1" applyAlignment="1">
      <alignment horizontal="center"/>
    </xf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23" fillId="0" borderId="0" xfId="0" applyFont="1"/>
    <xf numFmtId="4" fontId="0" fillId="0" borderId="0" xfId="0" applyNumberFormat="1"/>
    <xf numFmtId="0" fontId="1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name="tblItens" displayName="tblItens" ref="A2:K27" totalsRowShown="1" headerRowCount="1">
  <autoFilter ref="A2:K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Etapa" totalsRowLabel="Total"/>
    <tableColumn id="2" name="Item" totalsRowFunction="none"/>
    <tableColumn id="3" name="Codigo" totalsRowFunction="none"/>
    <tableColumn id="4" name="Fonte" totalsRowFunction="none"/>
    <tableColumn id="5" name="Descricao" totalsRowFunction="none"/>
    <tableColumn id="6" name="Und" totalsRowFunction="none"/>
    <tableColumn id="7" name="Qtd" totalsRowFunction="none"/>
    <tableColumn id="8" name="CustoUnit" totalsRowFunction="none"/>
    <tableColumn id="9" name="CustoTotal" totalsRowFunction="none"/>
    <tableColumn id="10" name="PrecoUnitBDI" totalsRowFunction="none"/>
    <tableColumn id="11" name="PrecoTotalBDI" totalsRowFunction="non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6A34A"/>
    <pageSetUpPr fitToPage="1"/>
  </sheetPr>
  <dimension ref="A1:B40"/>
  <sheetFormatPr defaultRowHeight="15" outlineLevelRow="0" outlineLevelCol="0" x14ac:dyDescent="55"/>
  <cols>
    <col min="1" max="1" width="26" customWidth="1"/>
    <col min="2" max="2" width="34" customWidth="1"/>
  </cols>
  <sheetData>
    <row r="1" spans="1:2" x14ac:dyDescent="0.25">
      <c r="A1" s="1" t="s">
        <v>0</v>
      </c>
      <c r="B1" s="1"/>
    </row>
    <row r="2" spans="1:2" x14ac:dyDescent="0.25">
      <c r="A2" s="2" t="s">
        <v>1</v>
      </c>
      <c r="B2" s="2"/>
    </row>
    <row r="4" spans="1:2" x14ac:dyDescent="0.25">
      <c r="A4" s="3" t="s">
        <v>2</v>
      </c>
      <c r="B4" s="4" t="s">
        <v>0</v>
      </c>
    </row>
    <row r="5" spans="1:2" x14ac:dyDescent="0.25">
      <c r="A5" s="3" t="s">
        <v>3</v>
      </c>
      <c r="B5" s="4" t="s">
        <v>4</v>
      </c>
    </row>
    <row r="6" spans="1:2" x14ac:dyDescent="0.25">
      <c r="A6" s="3" t="s">
        <v>5</v>
      </c>
      <c r="B6" s="5">
        <v>25.97</v>
      </c>
    </row>
    <row r="7" spans="1:2" x14ac:dyDescent="0.25">
      <c r="A7" s="3" t="s">
        <v>6</v>
      </c>
      <c r="B7" s="4" t="s">
        <v>7</v>
      </c>
    </row>
    <row r="8" spans="1:2" x14ac:dyDescent="0.25">
      <c r="A8" s="3" t="s">
        <v>8</v>
      </c>
      <c r="B8" s="4" t="s">
        <v>9</v>
      </c>
    </row>
    <row r="10" spans="1:2" x14ac:dyDescent="0.25">
      <c r="A10" s="3" t="s">
        <v>10</v>
      </c>
      <c r="B10" s="6">
        <f>'Sintética'!C14</f>
        <v>236384</v>
      </c>
    </row>
    <row r="11" spans="1:2" x14ac:dyDescent="0.25">
      <c r="A11" s="3" t="s">
        <v>11</v>
      </c>
      <c r="B11" s="6">
        <f>B10*$B$6/100</f>
        <v>61388.92479999999</v>
      </c>
    </row>
    <row r="12" spans="1:2" x14ac:dyDescent="0.25">
      <c r="A12" s="7" t="s">
        <v>12</v>
      </c>
      <c r="B12" s="8">
        <f>B10+B11</f>
        <v>297772.92480000004</v>
      </c>
    </row>
    <row r="14" spans="1:2" x14ac:dyDescent="0.25">
      <c r="A14" s="9" t="s">
        <v>13</v>
      </c>
      <c r="B14" s="9"/>
    </row>
    <row r="15" spans="1:2" x14ac:dyDescent="0.25">
      <c r="A15" s="9"/>
      <c r="B15" s="9"/>
    </row>
    <row r="17" spans="1:2" x14ac:dyDescent="0.25">
      <c r="A17" s="10" t="s">
        <v>14</v>
      </c>
      <c r="B17" s="10"/>
    </row>
    <row r="18" spans="1:2" x14ac:dyDescent="0.25">
      <c r="A18" s="3" t="s">
        <v>15</v>
      </c>
      <c r="B18" s="11">
        <v>0.0409</v>
      </c>
    </row>
    <row r="19" spans="1:2" x14ac:dyDescent="0.25">
      <c r="A19" s="3" t="s">
        <v>16</v>
      </c>
      <c r="B19" s="11">
        <v>0.0074</v>
      </c>
    </row>
    <row r="20" spans="1:2" x14ac:dyDescent="0.25">
      <c r="A20" s="3" t="s">
        <v>17</v>
      </c>
      <c r="B20" s="11">
        <v>0.0097</v>
      </c>
    </row>
    <row r="21" spans="1:2" x14ac:dyDescent="0.25">
      <c r="A21" s="3" t="s">
        <v>18</v>
      </c>
      <c r="B21" s="11">
        <v>0</v>
      </c>
    </row>
    <row r="22" spans="1:2" x14ac:dyDescent="0.25">
      <c r="A22" s="3" t="s">
        <v>19</v>
      </c>
      <c r="B22" s="11">
        <v>0.0121</v>
      </c>
    </row>
    <row r="23" spans="1:2" x14ac:dyDescent="0.25">
      <c r="A23" s="3" t="s">
        <v>20</v>
      </c>
      <c r="B23" s="11">
        <v>0.0664</v>
      </c>
    </row>
    <row r="24" spans="1:2" x14ac:dyDescent="0.25">
      <c r="A24" s="3" t="s">
        <v>21</v>
      </c>
      <c r="B24" s="11">
        <v>0.0935</v>
      </c>
    </row>
    <row r="25" spans="1:2" x14ac:dyDescent="0.25">
      <c r="A25" s="3" t="s">
        <v>22</v>
      </c>
      <c r="B25" s="12">
        <f>(1+B18+B19+B20+B21)*(1+B22)*(1+B23)/(1-B24)-1</f>
        <v>0.25968344127964715</v>
      </c>
    </row>
    <row r="26" spans="1:2" x14ac:dyDescent="0.25">
      <c r="A26" s="3" t="s">
        <v>23</v>
      </c>
      <c r="B26" s="12">
        <f>$B$6/100</f>
        <v>0.2597</v>
      </c>
    </row>
    <row r="29" spans="1:2" x14ac:dyDescent="0.25">
      <c r="A29" s="10" t="s">
        <v>24</v>
      </c>
      <c r="B29" s="10"/>
    </row>
    <row r="30" spans="1:2" x14ac:dyDescent="0.25">
      <c r="A30" s="13" t="s">
        <v>25</v>
      </c>
      <c r="B30" s="14" t="str">
        <f>IF(ABS('Cronograma'!$G$12-B12)&lt;=0.05,"OK","⚠ verificar")</f>
        <v>OK</v>
      </c>
    </row>
    <row r="31" spans="1:2" x14ac:dyDescent="0.25">
      <c r="A31" s="13" t="s">
        <v>26</v>
      </c>
      <c r="B31" s="14" t="str">
        <f>IF(ABS(SUM('Curva ABC'!$F$9:$F$33)-B10)&lt;=0.05,"OK","⚠ verificar")</f>
        <v>OK</v>
      </c>
    </row>
    <row r="33" spans="1:2" x14ac:dyDescent="0.25">
      <c r="A33" s="10" t="s">
        <v>27</v>
      </c>
      <c r="B33" s="10"/>
    </row>
    <row r="34" spans="1:2" x14ac:dyDescent="0.25">
      <c r="A34" s="3" t="s">
        <v>28</v>
      </c>
      <c r="B34" s="4" t="s">
        <v>29</v>
      </c>
    </row>
    <row r="35" spans="1:2" x14ac:dyDescent="0.25">
      <c r="A35" s="3" t="s">
        <v>30</v>
      </c>
      <c r="B35" s="4" t="s">
        <v>31</v>
      </c>
    </row>
    <row r="36" spans="1:2" x14ac:dyDescent="0.25">
      <c r="A36" s="3" t="s">
        <v>32</v>
      </c>
      <c r="B36" s="4" t="s">
        <v>33</v>
      </c>
    </row>
    <row r="37" spans="1:2" x14ac:dyDescent="0.25">
      <c r="A37" s="3" t="s">
        <v>34</v>
      </c>
      <c r="B37" s="4" t="s">
        <v>0</v>
      </c>
    </row>
    <row r="39" spans="1:1" x14ac:dyDescent="0.25">
      <c r="A39" t="s">
        <v>35</v>
      </c>
    </row>
    <row r="40" spans="1:1" x14ac:dyDescent="0.25">
      <c r="A40" s="15" t="s">
        <v>36</v>
      </c>
    </row>
  </sheetData>
  <sheetProtection sheet="1" sort="0" autoFilter="0" algorithmName="SHA-512" hashValue="kVHa1WXUuCLu3daMw41raCkqJbQO5yhRs6skIZRIucLAmM+/4KDZlwg1hl0G9UH3gp2KWEjSx6vz5pgLzasjtw==" saltValue="0Q7CWaPOJGaWeatr1sq2ng==" spinCount="100000"/>
  <mergeCells count="6">
    <mergeCell ref="A1:B1"/>
    <mergeCell ref="A2:B2"/>
    <mergeCell ref="A14:B15"/>
    <mergeCell ref="A17:B17"/>
    <mergeCell ref="A29:B29"/>
    <mergeCell ref="A33:B33"/>
  </mergeCells>
  <pageMargins left="0.4" right="0.4" top="0.55" bottom="0.55" header="0.2" footer="0.25"/>
  <pageSetup paperSize="9" orientation="portrait" fitToWidth="1" fitToHeight="0"/>
  <headerFooter>
    <oddFooter>&amp;L&amp;8OrçaPRO — ORC-2026-0820&amp;C&amp;8Construtora Modelo Ltda&amp;R&amp;8Pág. &amp;P de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FormatPr defaultRowHeight="15" outlineLevelRow="0" outlineLevelCol="0" x14ac:dyDescent="55"/>
  <sheetData>
    <row r="1" spans="1:1" x14ac:dyDescent="0.25">
      <c r="A1" t="s">
        <v>249</v>
      </c>
    </row>
    <row r="2" spans="1:1" x14ac:dyDescent="0.25">
      <c r="A2" t="s">
        <v>250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6F9E"/>
    <pageSetUpPr fitToPage="1"/>
  </sheetPr>
  <dimension ref="A1:G14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46" customWidth="1"/>
    <col min="3" max="3" width="16" customWidth="1"/>
    <col min="5" max="5" width="15" customWidth="1"/>
    <col min="6" max="6" width="17" customWidth="1"/>
    <col min="7" max="7" width="10" customWidth="1"/>
  </cols>
  <sheetData>
    <row r="1" spans="1:7" x14ac:dyDescent="0.25">
      <c r="A1" s="16" t="s">
        <v>0</v>
      </c>
      <c r="B1" s="16"/>
      <c r="C1" s="16"/>
      <c r="D1" s="16"/>
      <c r="E1" s="16"/>
      <c r="F1" s="16"/>
      <c r="G1" s="16"/>
    </row>
    <row r="2" spans="1:7" x14ac:dyDescent="0.25">
      <c r="A2" s="17" t="s">
        <v>37</v>
      </c>
      <c r="B2" s="17"/>
      <c r="C2" s="17"/>
      <c r="D2" s="17"/>
      <c r="E2" s="17"/>
      <c r="F2" s="17"/>
      <c r="G2" s="17"/>
    </row>
    <row r="3" spans="1:7" x14ac:dyDescent="0.25">
      <c r="A3" s="15" t="s">
        <v>38</v>
      </c>
      <c r="B3" s="15"/>
      <c r="C3" s="15"/>
      <c r="D3" s="15"/>
      <c r="E3" s="15"/>
      <c r="F3" s="15"/>
      <c r="G3" s="15"/>
    </row>
    <row r="4" spans="1:7" x14ac:dyDescent="0.25">
      <c r="A4" s="18" t="s">
        <v>39</v>
      </c>
      <c r="B4" s="18"/>
      <c r="C4" s="18"/>
      <c r="D4" s="18"/>
      <c r="E4" s="18"/>
      <c r="F4" s="18"/>
      <c r="G4" s="18"/>
    </row>
    <row r="6" spans="1:7" x14ac:dyDescent="0.25">
      <c r="A6" s="19" t="s">
        <v>40</v>
      </c>
      <c r="B6" s="19" t="s">
        <v>41</v>
      </c>
      <c r="C6" s="19" t="s">
        <v>42</v>
      </c>
      <c r="D6" s="19" t="s">
        <v>43</v>
      </c>
      <c r="E6" s="19" t="s">
        <v>11</v>
      </c>
      <c r="F6" s="19" t="s">
        <v>44</v>
      </c>
      <c r="G6" s="19" t="s">
        <v>45</v>
      </c>
    </row>
    <row r="7" spans="1:7" x14ac:dyDescent="0.25">
      <c r="A7" s="20" t="s">
        <v>46</v>
      </c>
      <c r="B7" s="20" t="s">
        <v>47</v>
      </c>
      <c r="C7" s="21">
        <f>SUMIFS('Analítica'!$H$7:$H$1006,'Analítica'!$K$7:$K$1006,"1.0")</f>
        <v>7776</v>
      </c>
      <c r="D7" s="22">
        <f>p_BDI</f>
        <v>25.97</v>
      </c>
      <c r="E7" s="21">
        <f>C7*p_BDI/100</f>
        <v>2019.4272</v>
      </c>
      <c r="F7" s="21">
        <f>C7+E7</f>
        <v>9795.4272</v>
      </c>
      <c r="G7" s="23">
        <f>F7/$F$14</f>
        <v>0.03289562745363476</v>
      </c>
    </row>
    <row r="8" spans="1:7" x14ac:dyDescent="0.25">
      <c r="A8" s="24" t="s">
        <v>48</v>
      </c>
      <c r="B8" s="24" t="s">
        <v>49</v>
      </c>
      <c r="C8" s="25">
        <f>SUMIFS('Analítica'!$H$7:$H$1006,'Analítica'!$K$7:$K$1006,"2.0")</f>
        <v>26450</v>
      </c>
      <c r="D8" s="26">
        <f>p_BDI</f>
        <v>25.97</v>
      </c>
      <c r="E8" s="25">
        <f>C8*p_BDI/100</f>
        <v>6869.065</v>
      </c>
      <c r="F8" s="25">
        <f>C8+E8</f>
        <v>33319.065</v>
      </c>
      <c r="G8" s="27">
        <f>F8/$F$14</f>
        <v>0.11189420603763367</v>
      </c>
    </row>
    <row r="9" spans="1:7" x14ac:dyDescent="0.25">
      <c r="A9" s="20" t="s">
        <v>50</v>
      </c>
      <c r="B9" s="20" t="s">
        <v>51</v>
      </c>
      <c r="C9" s="21">
        <f>SUMIFS('Analítica'!$H$7:$H$1006,'Analítica'!$K$7:$K$1006,"3.0")</f>
        <v>83250</v>
      </c>
      <c r="D9" s="22">
        <f>p_BDI</f>
        <v>25.97</v>
      </c>
      <c r="E9" s="21">
        <f>C9*p_BDI/100</f>
        <v>21620.025</v>
      </c>
      <c r="F9" s="21">
        <f>C9+E9</f>
        <v>104870.025</v>
      </c>
      <c r="G9" s="23">
        <f>F9/$F$14</f>
        <v>0.3521811966968999</v>
      </c>
    </row>
    <row r="10" spans="1:7" x14ac:dyDescent="0.25">
      <c r="A10" s="24" t="s">
        <v>52</v>
      </c>
      <c r="B10" s="24" t="s">
        <v>53</v>
      </c>
      <c r="C10" s="25">
        <f>SUMIFS('Analítica'!$H$7:$H$1006,'Analítica'!$K$7:$K$1006,"4.0")</f>
        <v>20240</v>
      </c>
      <c r="D10" s="26">
        <f>p_BDI</f>
        <v>25.97</v>
      </c>
      <c r="E10" s="25">
        <f>C10*p_BDI/100</f>
        <v>5256.3279999999995</v>
      </c>
      <c r="F10" s="25">
        <f>C10+E10</f>
        <v>25496.328</v>
      </c>
      <c r="G10" s="27">
        <f>F10/$F$14</f>
        <v>0.08562339244618924</v>
      </c>
    </row>
    <row r="11" spans="1:7" x14ac:dyDescent="0.25">
      <c r="A11" s="20" t="s">
        <v>54</v>
      </c>
      <c r="B11" s="20" t="s">
        <v>55</v>
      </c>
      <c r="C11" s="21">
        <f>SUMIFS('Analítica'!$H$7:$H$1006,'Analítica'!$K$7:$K$1006,"5.0")</f>
        <v>21000</v>
      </c>
      <c r="D11" s="22">
        <f>p_BDI</f>
        <v>25.97</v>
      </c>
      <c r="E11" s="21">
        <f>C11*p_BDI/100</f>
        <v>5453.7</v>
      </c>
      <c r="F11" s="21">
        <f>C11+E11</f>
        <v>26453.7</v>
      </c>
      <c r="G11" s="23">
        <f>F11/$F$14</f>
        <v>0.08883850006768647</v>
      </c>
    </row>
    <row r="12" spans="1:7" x14ac:dyDescent="0.25">
      <c r="A12" s="24" t="s">
        <v>56</v>
      </c>
      <c r="B12" s="24" t="s">
        <v>57</v>
      </c>
      <c r="C12" s="25">
        <f>SUMIFS('Analítica'!$H$7:$H$1006,'Analítica'!$K$7:$K$1006,"6.0")</f>
        <v>59724</v>
      </c>
      <c r="D12" s="26">
        <f>p_BDI</f>
        <v>25.97</v>
      </c>
      <c r="E12" s="25">
        <f>C12*p_BDI/100</f>
        <v>15510.3228</v>
      </c>
      <c r="F12" s="25">
        <f>C12+E12</f>
        <v>75234.32280000001</v>
      </c>
      <c r="G12" s="27">
        <f>F12/$F$14</f>
        <v>0.25265669419250036</v>
      </c>
    </row>
    <row r="13" spans="1:7" x14ac:dyDescent="0.25">
      <c r="A13" s="20" t="s">
        <v>58</v>
      </c>
      <c r="B13" s="20" t="s">
        <v>59</v>
      </c>
      <c r="C13" s="21">
        <f>SUMIFS('Analítica'!$H$7:$H$1006,'Analítica'!$K$7:$K$1006,"7.0")</f>
        <v>17944</v>
      </c>
      <c r="D13" s="22">
        <f>p_BDI</f>
        <v>25.97</v>
      </c>
      <c r="E13" s="21">
        <f>C13*p_BDI/100</f>
        <v>4660.0568</v>
      </c>
      <c r="F13" s="21">
        <f>C13+E13</f>
        <v>22604.0568</v>
      </c>
      <c r="G13" s="23">
        <f>F13/$F$14</f>
        <v>0.07591038310545552</v>
      </c>
    </row>
    <row r="14" spans="2:6" x14ac:dyDescent="0.25">
      <c r="B14" s="28" t="s">
        <v>60</v>
      </c>
      <c r="C14" s="29">
        <f>SUM(C7:C13)</f>
        <v>236384</v>
      </c>
      <c r="E14" s="29">
        <f>SUM(E7:E13)</f>
        <v>61388.92479999999</v>
      </c>
      <c r="F14" s="29">
        <f>SUM(F7:F13)</f>
        <v>297772.92480000004</v>
      </c>
    </row>
  </sheetData>
  <sheetProtection sheet="1" sort="0" autoFilter="0" algorithmName="SHA-512" hashValue="qMktpxRBYytm4Q0GijGbjmbv2GOOzk5a0xJaejKKZaIpFK5iWWi82kx5v+ev7pV8R8SvnL0Xx4WMJc0sb1Te+w==" saltValue="weAvZJmit+3DkfMQGRpHOA==" spinCount="100000"/>
  <mergeCells count="4">
    <mergeCell ref="A1:G1"/>
    <mergeCell ref="A2:G2"/>
    <mergeCell ref="A3:G3"/>
    <mergeCell ref="A4:G4"/>
  </mergeCells>
  <pageMargins left="0.4" right="0.4" top="0.55" bottom="0.55" header="0.2" footer="0.25"/>
  <pageSetup paperSize="9" orientation="portrait" fitToWidth="1" fitToHeight="0"/>
  <headerFooter>
    <oddFooter>&amp;L&amp;8OrçaPRO — ORC-2026-0820&amp;C&amp;8Construtora Modelo Ltda&amp;R&amp;8Pág.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2740"/>
    <pageSetUpPr fitToPage="1"/>
  </sheetPr>
  <dimension ref="A1:K49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2" width="12" customWidth="1"/>
    <col min="3" max="3" width="11" customWidth="1"/>
    <col min="4" max="4" width="50" customWidth="1"/>
    <col min="5" max="5" width="7" customWidth="1"/>
    <col min="6" max="6" width="10" customWidth="1"/>
    <col min="7" max="7" width="14" customWidth="1"/>
    <col min="8" max="8" width="15" customWidth="1"/>
    <col min="9" max="9" width="14" customWidth="1"/>
    <col min="10" max="10" width="16" customWidth="1"/>
    <col min="11" max="11" width="14" hidden="1" customWidth="1"/>
  </cols>
  <sheetData>
    <row r="1" spans="1:10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A2" s="17" t="s">
        <v>61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5" t="s">
        <v>62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30" t="s">
        <v>63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x14ac:dyDescent="0.25">
      <c r="A6" s="19" t="s">
        <v>40</v>
      </c>
      <c r="B6" s="19" t="s">
        <v>64</v>
      </c>
      <c r="C6" s="19" t="s">
        <v>65</v>
      </c>
      <c r="D6" s="19" t="s">
        <v>66</v>
      </c>
      <c r="E6" s="19" t="s">
        <v>67</v>
      </c>
      <c r="F6" s="19" t="s">
        <v>68</v>
      </c>
      <c r="G6" s="19" t="s">
        <v>69</v>
      </c>
      <c r="H6" s="19" t="s">
        <v>70</v>
      </c>
      <c r="I6" s="19" t="s">
        <v>71</v>
      </c>
      <c r="J6" s="19" t="s">
        <v>72</v>
      </c>
      <c r="K6" t="s">
        <v>41</v>
      </c>
    </row>
    <row r="7" spans="1:10" x14ac:dyDescent="0.25">
      <c r="A7" s="31" t="s">
        <v>73</v>
      </c>
      <c r="B7" s="31"/>
      <c r="C7" s="31"/>
      <c r="D7" s="31"/>
      <c r="E7" s="31"/>
      <c r="F7" s="31"/>
      <c r="G7" s="31"/>
      <c r="H7" s="31"/>
      <c r="I7" s="31"/>
      <c r="J7" s="31"/>
    </row>
    <row r="8" spans="1:11" x14ac:dyDescent="0.25">
      <c r="A8" s="20">
        <v>1</v>
      </c>
      <c r="B8" s="20" t="s">
        <v>74</v>
      </c>
      <c r="C8" s="32" t="s">
        <v>75</v>
      </c>
      <c r="D8" s="20" t="s">
        <v>76</v>
      </c>
      <c r="E8" s="20" t="s">
        <v>77</v>
      </c>
      <c r="F8" s="33">
        <v>6</v>
      </c>
      <c r="G8" s="34">
        <v>612</v>
      </c>
      <c r="H8" s="21">
        <f>F8*G8</f>
        <v>3672</v>
      </c>
      <c r="I8" s="21">
        <f>G8*(1+p_BDI/100)</f>
        <v>770.9364</v>
      </c>
      <c r="J8" s="21">
        <f>F8*I8</f>
        <v>4625.6184</v>
      </c>
      <c r="K8" t="s">
        <v>46</v>
      </c>
    </row>
    <row r="9" spans="1:11" x14ac:dyDescent="0.25">
      <c r="A9" s="24">
        <v>2</v>
      </c>
      <c r="B9" s="24" t="s">
        <v>78</v>
      </c>
      <c r="C9" s="35" t="s">
        <v>75</v>
      </c>
      <c r="D9" s="24" t="s">
        <v>79</v>
      </c>
      <c r="E9" s="24" t="s">
        <v>77</v>
      </c>
      <c r="F9" s="33">
        <v>120</v>
      </c>
      <c r="G9" s="34">
        <v>5.8</v>
      </c>
      <c r="H9" s="25">
        <f>F9*G9</f>
        <v>696</v>
      </c>
      <c r="I9" s="25">
        <f>G9*(1+p_BDI/100)</f>
        <v>7.30626</v>
      </c>
      <c r="J9" s="25">
        <f>F9*I9</f>
        <v>876.7512</v>
      </c>
      <c r="K9" t="s">
        <v>46</v>
      </c>
    </row>
    <row r="10" spans="1:11" x14ac:dyDescent="0.25">
      <c r="A10" s="20">
        <v>3</v>
      </c>
      <c r="B10" s="20" t="s">
        <v>80</v>
      </c>
      <c r="C10" s="32" t="s">
        <v>75</v>
      </c>
      <c r="D10" s="20" t="s">
        <v>81</v>
      </c>
      <c r="E10" s="20" t="s">
        <v>77</v>
      </c>
      <c r="F10" s="33">
        <v>120</v>
      </c>
      <c r="G10" s="34">
        <v>28.4</v>
      </c>
      <c r="H10" s="21">
        <f>F10*G10</f>
        <v>3408</v>
      </c>
      <c r="I10" s="21">
        <f>G10*(1+p_BDI/100)</f>
        <v>35.77548</v>
      </c>
      <c r="J10" s="21">
        <f>F10*I10</f>
        <v>4293.0576</v>
      </c>
      <c r="K10" t="s">
        <v>46</v>
      </c>
    </row>
    <row r="11" spans="4:10" x14ac:dyDescent="0.25">
      <c r="D11" s="36" t="s">
        <v>82</v>
      </c>
      <c r="H11" s="37">
        <f>SUM(H8:H10)</f>
        <v>7776</v>
      </c>
      <c r="J11" s="37">
        <f>SUM(J8:J10)</f>
        <v>9795.4272</v>
      </c>
    </row>
    <row r="12" spans="1:10" x14ac:dyDescent="0.25">
      <c r="A12" s="31" t="s">
        <v>83</v>
      </c>
      <c r="B12" s="31"/>
      <c r="C12" s="31"/>
      <c r="D12" s="31"/>
      <c r="E12" s="31"/>
      <c r="F12" s="31"/>
      <c r="G12" s="31"/>
      <c r="H12" s="31"/>
      <c r="I12" s="31"/>
      <c r="J12" s="31"/>
    </row>
    <row r="13" spans="1:11" x14ac:dyDescent="0.25">
      <c r="A13" s="24">
        <v>4</v>
      </c>
      <c r="B13" s="24" t="s">
        <v>84</v>
      </c>
      <c r="C13" s="35" t="s">
        <v>75</v>
      </c>
      <c r="D13" s="24" t="s">
        <v>85</v>
      </c>
      <c r="E13" s="24" t="s">
        <v>86</v>
      </c>
      <c r="F13" s="33">
        <v>18</v>
      </c>
      <c r="G13" s="34">
        <v>95</v>
      </c>
      <c r="H13" s="25">
        <f>F13*G13</f>
        <v>1710</v>
      </c>
      <c r="I13" s="25">
        <f>G13*(1+p_BDI/100)</f>
        <v>119.67150000000001</v>
      </c>
      <c r="J13" s="25">
        <f>F13*I13</f>
        <v>2154.087</v>
      </c>
      <c r="K13" t="s">
        <v>48</v>
      </c>
    </row>
    <row r="14" spans="1:11" x14ac:dyDescent="0.25">
      <c r="A14" s="20">
        <v>5</v>
      </c>
      <c r="B14" s="20" t="s">
        <v>87</v>
      </c>
      <c r="C14" s="32" t="s">
        <v>75</v>
      </c>
      <c r="D14" s="20" t="s">
        <v>88</v>
      </c>
      <c r="E14" s="20" t="s">
        <v>86</v>
      </c>
      <c r="F14" s="33">
        <v>4</v>
      </c>
      <c r="G14" s="34">
        <v>520</v>
      </c>
      <c r="H14" s="21">
        <f>F14*G14</f>
        <v>2080</v>
      </c>
      <c r="I14" s="21">
        <f>G14*(1+p_BDI/100)</f>
        <v>655.044</v>
      </c>
      <c r="J14" s="21">
        <f>F14*I14</f>
        <v>2620.176</v>
      </c>
      <c r="K14" t="s">
        <v>48</v>
      </c>
    </row>
    <row r="15" spans="1:11" x14ac:dyDescent="0.25">
      <c r="A15" s="24">
        <v>6</v>
      </c>
      <c r="B15" s="24" t="s">
        <v>89</v>
      </c>
      <c r="C15" s="35" t="s">
        <v>75</v>
      </c>
      <c r="D15" s="24" t="s">
        <v>90</v>
      </c>
      <c r="E15" s="24" t="s">
        <v>86</v>
      </c>
      <c r="F15" s="33">
        <v>12</v>
      </c>
      <c r="G15" s="34">
        <v>620</v>
      </c>
      <c r="H15" s="25">
        <f>F15*G15</f>
        <v>7440</v>
      </c>
      <c r="I15" s="25">
        <f>G15*(1+p_BDI/100)</f>
        <v>781.014</v>
      </c>
      <c r="J15" s="25">
        <f>F15*I15</f>
        <v>9372.168</v>
      </c>
      <c r="K15" t="s">
        <v>48</v>
      </c>
    </row>
    <row r="16" spans="1:11" x14ac:dyDescent="0.25">
      <c r="A16" s="20">
        <v>7</v>
      </c>
      <c r="B16" s="20" t="s">
        <v>91</v>
      </c>
      <c r="C16" s="32" t="s">
        <v>75</v>
      </c>
      <c r="D16" s="20" t="s">
        <v>92</v>
      </c>
      <c r="E16" s="20" t="s">
        <v>77</v>
      </c>
      <c r="F16" s="33">
        <v>60</v>
      </c>
      <c r="G16" s="34">
        <v>78</v>
      </c>
      <c r="H16" s="21">
        <f>F16*G16</f>
        <v>4680</v>
      </c>
      <c r="I16" s="21">
        <f>G16*(1+p_BDI/100)</f>
        <v>98.2566</v>
      </c>
      <c r="J16" s="21">
        <f>F16*I16</f>
        <v>5895.396000000001</v>
      </c>
      <c r="K16" t="s">
        <v>48</v>
      </c>
    </row>
    <row r="17" spans="1:11" x14ac:dyDescent="0.25">
      <c r="A17" s="24">
        <v>8</v>
      </c>
      <c r="B17" s="24" t="s">
        <v>93</v>
      </c>
      <c r="C17" s="35" t="s">
        <v>75</v>
      </c>
      <c r="D17" s="24" t="s">
        <v>94</v>
      </c>
      <c r="E17" s="24" t="s">
        <v>95</v>
      </c>
      <c r="F17" s="33">
        <v>850</v>
      </c>
      <c r="G17" s="34">
        <v>12.4</v>
      </c>
      <c r="H17" s="25">
        <f>F17*G17</f>
        <v>10540</v>
      </c>
      <c r="I17" s="25">
        <f>G17*(1+p_BDI/100)</f>
        <v>15.620280000000001</v>
      </c>
      <c r="J17" s="25">
        <f>F17*I17</f>
        <v>13277.238000000001</v>
      </c>
      <c r="K17" t="s">
        <v>48</v>
      </c>
    </row>
    <row r="18" spans="4:10" x14ac:dyDescent="0.25">
      <c r="D18" s="36" t="s">
        <v>96</v>
      </c>
      <c r="H18" s="37">
        <f>SUM(H13:H17)</f>
        <v>26450</v>
      </c>
      <c r="J18" s="37">
        <f>SUM(J13:J17)</f>
        <v>33319.065</v>
      </c>
    </row>
    <row r="19" spans="1:10" x14ac:dyDescent="0.25">
      <c r="A19" s="31" t="s">
        <v>97</v>
      </c>
      <c r="B19" s="31"/>
      <c r="C19" s="31"/>
      <c r="D19" s="31"/>
      <c r="E19" s="31"/>
      <c r="F19" s="31"/>
      <c r="G19" s="31"/>
      <c r="H19" s="31"/>
      <c r="I19" s="31"/>
      <c r="J19" s="31"/>
    </row>
    <row r="20" spans="1:11" x14ac:dyDescent="0.25">
      <c r="A20" s="20">
        <v>9</v>
      </c>
      <c r="B20" s="20" t="s">
        <v>98</v>
      </c>
      <c r="C20" s="32" t="s">
        <v>75</v>
      </c>
      <c r="D20" s="20" t="s">
        <v>99</v>
      </c>
      <c r="E20" s="20" t="s">
        <v>86</v>
      </c>
      <c r="F20" s="33">
        <v>28</v>
      </c>
      <c r="G20" s="34">
        <v>640</v>
      </c>
      <c r="H20" s="21">
        <f>F20*G20</f>
        <v>17920</v>
      </c>
      <c r="I20" s="21">
        <f>G20*(1+p_BDI/100)</f>
        <v>806.2080000000001</v>
      </c>
      <c r="J20" s="21">
        <f>F20*I20</f>
        <v>22573.824</v>
      </c>
      <c r="K20" t="s">
        <v>50</v>
      </c>
    </row>
    <row r="21" spans="1:11" x14ac:dyDescent="0.25">
      <c r="A21" s="24">
        <v>10</v>
      </c>
      <c r="B21" s="24" t="s">
        <v>100</v>
      </c>
      <c r="C21" s="35" t="s">
        <v>75</v>
      </c>
      <c r="D21" s="24" t="s">
        <v>101</v>
      </c>
      <c r="E21" s="24" t="s">
        <v>77</v>
      </c>
      <c r="F21" s="33">
        <v>320</v>
      </c>
      <c r="G21" s="34">
        <v>82</v>
      </c>
      <c r="H21" s="25">
        <f>F21*G21</f>
        <v>26240</v>
      </c>
      <c r="I21" s="25">
        <f>G21*(1+p_BDI/100)</f>
        <v>103.2954</v>
      </c>
      <c r="J21" s="25">
        <f>F21*I21</f>
        <v>33054.528</v>
      </c>
      <c r="K21" t="s">
        <v>50</v>
      </c>
    </row>
    <row r="22" spans="1:11" x14ac:dyDescent="0.25">
      <c r="A22" s="20">
        <v>11</v>
      </c>
      <c r="B22" s="20" t="s">
        <v>102</v>
      </c>
      <c r="C22" s="32" t="s">
        <v>75</v>
      </c>
      <c r="D22" s="20" t="s">
        <v>103</v>
      </c>
      <c r="E22" s="20" t="s">
        <v>95</v>
      </c>
      <c r="F22" s="33">
        <v>2100</v>
      </c>
      <c r="G22" s="34">
        <v>12.4</v>
      </c>
      <c r="H22" s="21">
        <f>F22*G22</f>
        <v>26040</v>
      </c>
      <c r="I22" s="21">
        <f>G22*(1+p_BDI/100)</f>
        <v>15.620280000000001</v>
      </c>
      <c r="J22" s="21">
        <f>F22*I22</f>
        <v>32802.588</v>
      </c>
      <c r="K22" t="s">
        <v>50</v>
      </c>
    </row>
    <row r="23" spans="1:11" x14ac:dyDescent="0.25">
      <c r="A23" s="24">
        <v>12</v>
      </c>
      <c r="B23" s="24" t="s">
        <v>104</v>
      </c>
      <c r="C23" s="35" t="s">
        <v>75</v>
      </c>
      <c r="D23" s="24" t="s">
        <v>105</v>
      </c>
      <c r="E23" s="24" t="s">
        <v>77</v>
      </c>
      <c r="F23" s="33">
        <v>90</v>
      </c>
      <c r="G23" s="34">
        <v>145</v>
      </c>
      <c r="H23" s="25">
        <f>F23*G23</f>
        <v>13050</v>
      </c>
      <c r="I23" s="25">
        <f>G23*(1+p_BDI/100)</f>
        <v>182.6565</v>
      </c>
      <c r="J23" s="25">
        <f>F23*I23</f>
        <v>16439.085</v>
      </c>
      <c r="K23" t="s">
        <v>50</v>
      </c>
    </row>
    <row r="24" spans="4:10" x14ac:dyDescent="0.25">
      <c r="D24" s="36" t="s">
        <v>106</v>
      </c>
      <c r="H24" s="37">
        <f>SUM(H20:H23)</f>
        <v>83250</v>
      </c>
      <c r="J24" s="37">
        <f>SUM(J20:J23)</f>
        <v>104870.025</v>
      </c>
    </row>
    <row r="25" spans="1:10" x14ac:dyDescent="0.25">
      <c r="A25" s="31" t="s">
        <v>107</v>
      </c>
      <c r="B25" s="31"/>
      <c r="C25" s="31"/>
      <c r="D25" s="31"/>
      <c r="E25" s="31"/>
      <c r="F25" s="31"/>
      <c r="G25" s="31"/>
      <c r="H25" s="31"/>
      <c r="I25" s="31"/>
      <c r="J25" s="31"/>
    </row>
    <row r="26" spans="1:11" x14ac:dyDescent="0.25">
      <c r="A26" s="20">
        <v>13</v>
      </c>
      <c r="B26" s="20" t="s">
        <v>108</v>
      </c>
      <c r="C26" s="32" t="s">
        <v>75</v>
      </c>
      <c r="D26" s="20" t="s">
        <v>109</v>
      </c>
      <c r="E26" s="20" t="s">
        <v>77</v>
      </c>
      <c r="F26" s="33">
        <v>240</v>
      </c>
      <c r="G26" s="34">
        <v>78</v>
      </c>
      <c r="H26" s="21">
        <f>F26*G26</f>
        <v>18720</v>
      </c>
      <c r="I26" s="21">
        <f>G26*(1+p_BDI/100)</f>
        <v>98.2566</v>
      </c>
      <c r="J26" s="21">
        <f>F26*I26</f>
        <v>23581.584000000003</v>
      </c>
      <c r="K26" t="s">
        <v>52</v>
      </c>
    </row>
    <row r="27" spans="1:11" x14ac:dyDescent="0.25">
      <c r="A27" s="24">
        <v>14</v>
      </c>
      <c r="B27" s="24" t="s">
        <v>110</v>
      </c>
      <c r="C27" s="35" t="s">
        <v>75</v>
      </c>
      <c r="D27" s="24" t="s">
        <v>111</v>
      </c>
      <c r="E27" s="24" t="s">
        <v>112</v>
      </c>
      <c r="F27" s="33">
        <v>40</v>
      </c>
      <c r="G27" s="34">
        <v>38</v>
      </c>
      <c r="H27" s="25">
        <f>F27*G27</f>
        <v>1520</v>
      </c>
      <c r="I27" s="25">
        <f>G27*(1+p_BDI/100)</f>
        <v>47.8686</v>
      </c>
      <c r="J27" s="25">
        <f>F27*I27</f>
        <v>1914.7440000000001</v>
      </c>
      <c r="K27" t="s">
        <v>52</v>
      </c>
    </row>
    <row r="28" spans="4:10" x14ac:dyDescent="0.25">
      <c r="D28" s="36" t="s">
        <v>113</v>
      </c>
      <c r="H28" s="37">
        <f>SUM(H26:H27)</f>
        <v>20240</v>
      </c>
      <c r="J28" s="37">
        <f>SUM(J26:J27)</f>
        <v>25496.328</v>
      </c>
    </row>
    <row r="29" spans="1:10" x14ac:dyDescent="0.25">
      <c r="A29" s="31" t="s">
        <v>114</v>
      </c>
      <c r="B29" s="31"/>
      <c r="C29" s="31"/>
      <c r="D29" s="31"/>
      <c r="E29" s="31"/>
      <c r="F29" s="31"/>
      <c r="G29" s="31"/>
      <c r="H29" s="31"/>
      <c r="I29" s="31"/>
      <c r="J29" s="31"/>
    </row>
    <row r="30" spans="1:11" x14ac:dyDescent="0.25">
      <c r="A30" s="20">
        <v>15</v>
      </c>
      <c r="B30" s="20" t="s">
        <v>115</v>
      </c>
      <c r="C30" s="32" t="s">
        <v>75</v>
      </c>
      <c r="D30" s="20" t="s">
        <v>116</v>
      </c>
      <c r="E30" s="20" t="s">
        <v>77</v>
      </c>
      <c r="F30" s="33">
        <v>150</v>
      </c>
      <c r="G30" s="34">
        <v>92</v>
      </c>
      <c r="H30" s="21">
        <f>F30*G30</f>
        <v>13800</v>
      </c>
      <c r="I30" s="21">
        <f>G30*(1+p_BDI/100)</f>
        <v>115.89240000000001</v>
      </c>
      <c r="J30" s="21">
        <f>F30*I30</f>
        <v>17383.86</v>
      </c>
      <c r="K30" t="s">
        <v>54</v>
      </c>
    </row>
    <row r="31" spans="1:11" x14ac:dyDescent="0.25">
      <c r="A31" s="24">
        <v>16</v>
      </c>
      <c r="B31" s="24" t="s">
        <v>117</v>
      </c>
      <c r="C31" s="35" t="s">
        <v>75</v>
      </c>
      <c r="D31" s="24" t="s">
        <v>118</v>
      </c>
      <c r="E31" s="24" t="s">
        <v>77</v>
      </c>
      <c r="F31" s="33">
        <v>150</v>
      </c>
      <c r="G31" s="34">
        <v>48</v>
      </c>
      <c r="H31" s="25">
        <f>F31*G31</f>
        <v>7200</v>
      </c>
      <c r="I31" s="25">
        <f>G31*(1+p_BDI/100)</f>
        <v>60.4656</v>
      </c>
      <c r="J31" s="25">
        <f>F31*I31</f>
        <v>9069.84</v>
      </c>
      <c r="K31" t="s">
        <v>54</v>
      </c>
    </row>
    <row r="32" spans="4:10" x14ac:dyDescent="0.25">
      <c r="D32" s="36" t="s">
        <v>119</v>
      </c>
      <c r="H32" s="37">
        <f>SUM(H30:H31)</f>
        <v>21000</v>
      </c>
      <c r="J32" s="37">
        <f>SUM(J30:J31)</f>
        <v>26453.7</v>
      </c>
    </row>
    <row r="33" spans="1:10" x14ac:dyDescent="0.25">
      <c r="A33" s="31" t="s">
        <v>120</v>
      </c>
      <c r="B33" s="31"/>
      <c r="C33" s="31"/>
      <c r="D33" s="31"/>
      <c r="E33" s="31"/>
      <c r="F33" s="31"/>
      <c r="G33" s="31"/>
      <c r="H33" s="31"/>
      <c r="I33" s="31"/>
      <c r="J33" s="31"/>
    </row>
    <row r="34" spans="1:11" x14ac:dyDescent="0.25">
      <c r="A34" s="20">
        <v>17</v>
      </c>
      <c r="B34" s="20" t="s">
        <v>121</v>
      </c>
      <c r="C34" s="32" t="s">
        <v>75</v>
      </c>
      <c r="D34" s="20" t="s">
        <v>122</v>
      </c>
      <c r="E34" s="20" t="s">
        <v>77</v>
      </c>
      <c r="F34" s="33">
        <v>480</v>
      </c>
      <c r="G34" s="34">
        <v>9.8</v>
      </c>
      <c r="H34" s="21">
        <f>F34*G34</f>
        <v>4704</v>
      </c>
      <c r="I34" s="21">
        <f>G34*(1+p_BDI/100)</f>
        <v>12.345060000000002</v>
      </c>
      <c r="J34" s="21">
        <f>F34*I34</f>
        <v>5925.628800000001</v>
      </c>
      <c r="K34" t="s">
        <v>56</v>
      </c>
    </row>
    <row r="35" spans="1:11" x14ac:dyDescent="0.25">
      <c r="A35" s="24">
        <v>18</v>
      </c>
      <c r="B35" s="24" t="s">
        <v>123</v>
      </c>
      <c r="C35" s="35" t="s">
        <v>75</v>
      </c>
      <c r="D35" s="24" t="s">
        <v>124</v>
      </c>
      <c r="E35" s="24" t="s">
        <v>77</v>
      </c>
      <c r="F35" s="33">
        <v>480</v>
      </c>
      <c r="G35" s="34">
        <v>38</v>
      </c>
      <c r="H35" s="25">
        <f>F35*G35</f>
        <v>18240</v>
      </c>
      <c r="I35" s="25">
        <f>G35*(1+p_BDI/100)</f>
        <v>47.8686</v>
      </c>
      <c r="J35" s="25">
        <f>F35*I35</f>
        <v>22976.928</v>
      </c>
      <c r="K35" t="s">
        <v>56</v>
      </c>
    </row>
    <row r="36" spans="1:11" x14ac:dyDescent="0.25">
      <c r="A36" s="20">
        <v>19</v>
      </c>
      <c r="B36" s="20" t="s">
        <v>125</v>
      </c>
      <c r="C36" s="32" t="s">
        <v>75</v>
      </c>
      <c r="D36" s="20" t="s">
        <v>126</v>
      </c>
      <c r="E36" s="20" t="s">
        <v>77</v>
      </c>
      <c r="F36" s="33">
        <v>120</v>
      </c>
      <c r="G36" s="34">
        <v>42</v>
      </c>
      <c r="H36" s="21">
        <f>F36*G36</f>
        <v>5040</v>
      </c>
      <c r="I36" s="21">
        <f>G36*(1+p_BDI/100)</f>
        <v>52.9074</v>
      </c>
      <c r="J36" s="21">
        <f>F36*I36</f>
        <v>6348.888</v>
      </c>
      <c r="K36" t="s">
        <v>56</v>
      </c>
    </row>
    <row r="37" spans="1:11" x14ac:dyDescent="0.25">
      <c r="A37" s="24">
        <v>20</v>
      </c>
      <c r="B37" s="24" t="s">
        <v>127</v>
      </c>
      <c r="C37" s="35" t="s">
        <v>75</v>
      </c>
      <c r="D37" s="24" t="s">
        <v>128</v>
      </c>
      <c r="E37" s="24" t="s">
        <v>77</v>
      </c>
      <c r="F37" s="33">
        <v>120</v>
      </c>
      <c r="G37" s="34">
        <v>118</v>
      </c>
      <c r="H37" s="25">
        <f>F37*G37</f>
        <v>14160</v>
      </c>
      <c r="I37" s="25">
        <f>G37*(1+p_BDI/100)</f>
        <v>148.6446</v>
      </c>
      <c r="J37" s="25">
        <f>F37*I37</f>
        <v>17837.352</v>
      </c>
      <c r="K37" t="s">
        <v>56</v>
      </c>
    </row>
    <row r="38" spans="1:11" x14ac:dyDescent="0.25">
      <c r="A38" s="20">
        <v>21</v>
      </c>
      <c r="B38" s="20" t="s">
        <v>129</v>
      </c>
      <c r="C38" s="32" t="s">
        <v>75</v>
      </c>
      <c r="D38" s="20" t="s">
        <v>130</v>
      </c>
      <c r="E38" s="20" t="s">
        <v>77</v>
      </c>
      <c r="F38" s="33">
        <v>480</v>
      </c>
      <c r="G38" s="34">
        <v>26</v>
      </c>
      <c r="H38" s="21">
        <f>F38*G38</f>
        <v>12480</v>
      </c>
      <c r="I38" s="21">
        <f>G38*(1+p_BDI/100)</f>
        <v>32.7522</v>
      </c>
      <c r="J38" s="21">
        <f>F38*I38</f>
        <v>15721.056</v>
      </c>
      <c r="K38" t="s">
        <v>56</v>
      </c>
    </row>
    <row r="39" spans="1:11" x14ac:dyDescent="0.25">
      <c r="A39" s="24">
        <v>22</v>
      </c>
      <c r="B39" s="24" t="s">
        <v>131</v>
      </c>
      <c r="C39" s="35" t="s">
        <v>75</v>
      </c>
      <c r="D39" s="24" t="s">
        <v>132</v>
      </c>
      <c r="E39" s="24" t="s">
        <v>77</v>
      </c>
      <c r="F39" s="33">
        <v>60</v>
      </c>
      <c r="G39" s="34">
        <v>85</v>
      </c>
      <c r="H39" s="25">
        <f>F39*G39</f>
        <v>5100</v>
      </c>
      <c r="I39" s="25">
        <f>G39*(1+p_BDI/100)</f>
        <v>107.0745</v>
      </c>
      <c r="J39" s="25">
        <f>F39*I39</f>
        <v>6424.47</v>
      </c>
      <c r="K39" t="s">
        <v>56</v>
      </c>
    </row>
    <row r="40" spans="4:10" x14ac:dyDescent="0.25">
      <c r="D40" s="36" t="s">
        <v>133</v>
      </c>
      <c r="H40" s="37">
        <f>SUM(H34:H39)</f>
        <v>59724</v>
      </c>
      <c r="J40" s="37">
        <f>SUM(J34:J39)</f>
        <v>75234.32280000001</v>
      </c>
    </row>
    <row r="41" spans="1:10" x14ac:dyDescent="0.25">
      <c r="A41" s="31" t="s">
        <v>134</v>
      </c>
      <c r="B41" s="31"/>
      <c r="C41" s="31"/>
      <c r="D41" s="31"/>
      <c r="E41" s="31"/>
      <c r="F41" s="31"/>
      <c r="G41" s="31"/>
      <c r="H41" s="31"/>
      <c r="I41" s="31"/>
      <c r="J41" s="31"/>
    </row>
    <row r="42" spans="1:11" x14ac:dyDescent="0.25">
      <c r="A42" s="20">
        <v>23</v>
      </c>
      <c r="B42" s="20" t="s">
        <v>135</v>
      </c>
      <c r="C42" s="32" t="s">
        <v>75</v>
      </c>
      <c r="D42" s="20" t="s">
        <v>136</v>
      </c>
      <c r="E42" s="20" t="s">
        <v>137</v>
      </c>
      <c r="F42" s="33">
        <v>28</v>
      </c>
      <c r="G42" s="34">
        <v>185</v>
      </c>
      <c r="H42" s="21">
        <f>F42*G42</f>
        <v>5180</v>
      </c>
      <c r="I42" s="21">
        <f>G42*(1+p_BDI/100)</f>
        <v>233.0445</v>
      </c>
      <c r="J42" s="21">
        <f>F42*I42</f>
        <v>6525.246</v>
      </c>
      <c r="K42" t="s">
        <v>58</v>
      </c>
    </row>
    <row r="43" spans="1:11" x14ac:dyDescent="0.25">
      <c r="A43" s="24">
        <v>24</v>
      </c>
      <c r="B43" s="24" t="s">
        <v>138</v>
      </c>
      <c r="C43" s="35" t="s">
        <v>75</v>
      </c>
      <c r="D43" s="24" t="s">
        <v>139</v>
      </c>
      <c r="E43" s="24" t="s">
        <v>137</v>
      </c>
      <c r="F43" s="33">
        <v>42</v>
      </c>
      <c r="G43" s="34">
        <v>142</v>
      </c>
      <c r="H43" s="25">
        <f>F43*G43</f>
        <v>5964</v>
      </c>
      <c r="I43" s="25">
        <f>G43*(1+p_BDI/100)</f>
        <v>178.8774</v>
      </c>
      <c r="J43" s="25">
        <f>F43*I43</f>
        <v>7512.8508</v>
      </c>
      <c r="K43" t="s">
        <v>58</v>
      </c>
    </row>
    <row r="44" spans="1:11" x14ac:dyDescent="0.25">
      <c r="A44" s="20">
        <v>25</v>
      </c>
      <c r="B44" s="20" t="s">
        <v>140</v>
      </c>
      <c r="C44" s="32" t="s">
        <v>141</v>
      </c>
      <c r="D44" s="20" t="s">
        <v>142</v>
      </c>
      <c r="E44" s="20" t="s">
        <v>143</v>
      </c>
      <c r="F44" s="33">
        <v>1</v>
      </c>
      <c r="G44" s="34">
        <v>6800</v>
      </c>
      <c r="H44" s="21">
        <f>F44*G44</f>
        <v>6800</v>
      </c>
      <c r="I44" s="21">
        <f>G44*(1+p_BDI/100)</f>
        <v>8565.960000000001</v>
      </c>
      <c r="J44" s="21">
        <f>F44*I44</f>
        <v>8565.960000000001</v>
      </c>
      <c r="K44" t="s">
        <v>58</v>
      </c>
    </row>
    <row r="45" spans="4:10" x14ac:dyDescent="0.25">
      <c r="D45" s="36" t="s">
        <v>144</v>
      </c>
      <c r="H45" s="37">
        <f>SUM(H42:H44)</f>
        <v>17944</v>
      </c>
      <c r="J45" s="37">
        <f>SUM(J42:J44)</f>
        <v>22604.0568</v>
      </c>
    </row>
    <row r="47" spans="4:8" x14ac:dyDescent="0.25">
      <c r="D47" s="36" t="s">
        <v>145</v>
      </c>
      <c r="H47" s="38">
        <f>H11+H18+H24+H28+H32+H40+H45</f>
        <v>236384</v>
      </c>
    </row>
    <row r="48" spans="4:8" x14ac:dyDescent="0.25">
      <c r="D48" s="36" t="s">
        <v>146</v>
      </c>
      <c r="H48" s="39">
        <f>H47*p_BDI/100</f>
        <v>61388.92479999999</v>
      </c>
    </row>
    <row r="49" spans="4:8" x14ac:dyDescent="0.25">
      <c r="D49" s="40" t="s">
        <v>147</v>
      </c>
      <c r="H49" s="41">
        <f>H47+H48</f>
        <v>297772.92480000004</v>
      </c>
    </row>
  </sheetData>
  <sheetProtection sheet="1" sort="0" autoFilter="0" algorithmName="SHA-512" hashValue="8chdwlHQe/tlz0S/ZoTYbmuarcYNYKqKH9Y3fV9pb5eG3VMBydhPyZhrWIJjFOQsTMMq+YfAJh0JayZAFMNP3Q==" saltValue="FlbDpxch2gEqyUNCE+B0rw==" spinCount="100000"/>
  <mergeCells count="11">
    <mergeCell ref="A1:J1"/>
    <mergeCell ref="A2:J2"/>
    <mergeCell ref="A3:J3"/>
    <mergeCell ref="A4:J4"/>
    <mergeCell ref="A7:J7"/>
    <mergeCell ref="A12:J12"/>
    <mergeCell ref="A19:J19"/>
    <mergeCell ref="A25:J25"/>
    <mergeCell ref="A29:J29"/>
    <mergeCell ref="A33:J33"/>
    <mergeCell ref="A41:J41"/>
  </mergeCells>
  <pageMargins left="0.4" right="0.4" top="0.55" bottom="0.55" header="0.2" footer="0.25"/>
  <pageSetup paperSize="9" orientation="landscape" fitToWidth="1" fitToHeight="0"/>
  <headerFooter>
    <oddFooter>&amp;L&amp;8OrçaPRO — ORC-2026-0820&amp;C&amp;8Construtora Modelo Ltda&amp;R&amp;8Pág. &amp;P de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9E0B"/>
    <pageSetUpPr fitToPage="1"/>
  </sheetPr>
  <dimension ref="A1:H12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34" customWidth="1"/>
    <col min="7" max="7" width="10" customWidth="1"/>
    <col min="8" max="8" width="12" customWidth="1"/>
  </cols>
  <sheetData>
    <row r="1" spans="1:8" x14ac:dyDescent="0.25">
      <c r="A1" s="16" t="s">
        <v>0</v>
      </c>
      <c r="B1" s="16"/>
      <c r="C1" s="16"/>
      <c r="D1" s="16"/>
      <c r="E1" s="16"/>
      <c r="F1" s="16"/>
      <c r="G1" s="16"/>
      <c r="H1" s="16"/>
    </row>
    <row r="2" spans="1:8" x14ac:dyDescent="0.25">
      <c r="A2" s="17" t="s">
        <v>148</v>
      </c>
      <c r="B2" s="17"/>
      <c r="C2" s="17"/>
      <c r="D2" s="17"/>
      <c r="E2" s="17"/>
      <c r="F2" s="17"/>
      <c r="G2" s="17"/>
      <c r="H2" s="17"/>
    </row>
    <row r="3" spans="1:8" x14ac:dyDescent="0.25">
      <c r="A3" s="30" t="s">
        <v>149</v>
      </c>
      <c r="B3" s="30"/>
      <c r="C3" s="30"/>
      <c r="D3" s="30"/>
      <c r="E3" s="30"/>
      <c r="F3" s="30"/>
      <c r="G3" s="30"/>
      <c r="H3" s="30"/>
    </row>
    <row r="5" spans="1:8" x14ac:dyDescent="0.25">
      <c r="A5" s="19" t="s">
        <v>41</v>
      </c>
      <c r="B5" s="19" t="s">
        <v>150</v>
      </c>
      <c r="C5" s="19" t="s">
        <v>151</v>
      </c>
      <c r="D5" s="19" t="s">
        <v>152</v>
      </c>
      <c r="E5" s="19" t="s">
        <v>153</v>
      </c>
      <c r="F5" s="19" t="s">
        <v>154</v>
      </c>
      <c r="G5" s="19" t="s">
        <v>155</v>
      </c>
      <c r="H5" s="19" t="s">
        <v>156</v>
      </c>
    </row>
    <row r="6" spans="1:8" x14ac:dyDescent="0.25">
      <c r="A6" s="20" t="s">
        <v>157</v>
      </c>
      <c r="B6" s="42">
        <v>1</v>
      </c>
      <c r="C6" s="42">
        <v>0</v>
      </c>
      <c r="D6" s="42">
        <v>0</v>
      </c>
      <c r="E6" s="42">
        <v>0</v>
      </c>
      <c r="F6" s="42">
        <v>0</v>
      </c>
      <c r="G6" s="43">
        <f>SUM(B6:F6)</f>
        <v>1</v>
      </c>
      <c r="H6" s="14" t="str">
        <f>IF(ABS(G6-1)&gt;0.001,"⚠ ≠100%","OK")</f>
        <v>OK</v>
      </c>
    </row>
    <row r="7" spans="1:8" x14ac:dyDescent="0.25">
      <c r="A7" s="20" t="s">
        <v>158</v>
      </c>
      <c r="B7" s="42">
        <v>1</v>
      </c>
      <c r="C7" s="42">
        <v>0</v>
      </c>
      <c r="D7" s="42">
        <v>0</v>
      </c>
      <c r="E7" s="42">
        <v>0</v>
      </c>
      <c r="F7" s="42">
        <v>0</v>
      </c>
      <c r="G7" s="43">
        <f>SUM(B7:F7)</f>
        <v>1</v>
      </c>
      <c r="H7" s="14" t="str">
        <f>IF(ABS(G7-1)&gt;0.001,"⚠ ≠100%","OK")</f>
        <v>OK</v>
      </c>
    </row>
    <row r="8" spans="1:8" x14ac:dyDescent="0.25">
      <c r="A8" s="20" t="s">
        <v>159</v>
      </c>
      <c r="B8" s="42">
        <v>0.15676630525733726</v>
      </c>
      <c r="C8" s="42">
        <v>0.5678895615629294</v>
      </c>
      <c r="D8" s="42">
        <v>0.2753441331797335</v>
      </c>
      <c r="E8" s="42">
        <v>0</v>
      </c>
      <c r="F8" s="42">
        <v>0</v>
      </c>
      <c r="G8" s="43">
        <f>SUM(B8:F8)</f>
        <v>1</v>
      </c>
      <c r="H8" s="14" t="str">
        <f>IF(ABS(G8-1)&gt;0.001,"⚠ ≠100%","OK")</f>
        <v>OK</v>
      </c>
    </row>
    <row r="9" spans="1:8" x14ac:dyDescent="0.25">
      <c r="A9" s="20" t="s">
        <v>160</v>
      </c>
      <c r="B9" s="42">
        <v>0</v>
      </c>
      <c r="C9" s="42">
        <v>0</v>
      </c>
      <c r="D9" s="42">
        <v>1.0000000000000013</v>
      </c>
      <c r="E9" s="42">
        <v>0</v>
      </c>
      <c r="F9" s="42">
        <v>0</v>
      </c>
      <c r="G9" s="43">
        <f>SUM(B9:F9)</f>
        <v>1.0000000000000013</v>
      </c>
      <c r="H9" s="14" t="str">
        <f>IF(ABS(G9-1)&gt;0.001,"⚠ ≠100%","OK")</f>
        <v>OK</v>
      </c>
    </row>
    <row r="10" spans="1:8" x14ac:dyDescent="0.25">
      <c r="A10" s="20" t="s">
        <v>161</v>
      </c>
      <c r="B10" s="42">
        <v>0</v>
      </c>
      <c r="C10" s="42">
        <v>0</v>
      </c>
      <c r="D10" s="42">
        <v>0.195923897224206</v>
      </c>
      <c r="E10" s="42">
        <v>0.8040761027757936</v>
      </c>
      <c r="F10" s="42">
        <v>0</v>
      </c>
      <c r="G10" s="43">
        <f>SUM(B10:F10)</f>
        <v>0.9999999999999996</v>
      </c>
      <c r="H10" s="14" t="str">
        <f>IF(ABS(G10-1)&gt;0.001,"⚠ ≠100%","OK")</f>
        <v>OK</v>
      </c>
    </row>
    <row r="11" spans="1:8" x14ac:dyDescent="0.25">
      <c r="A11" s="20" t="s">
        <v>162</v>
      </c>
      <c r="B11" s="42">
        <v>0</v>
      </c>
      <c r="C11" s="42">
        <v>0</v>
      </c>
      <c r="D11" s="42">
        <v>0</v>
      </c>
      <c r="E11" s="42">
        <v>0.5088607965088275</v>
      </c>
      <c r="F11" s="42">
        <v>0.49113920349117246</v>
      </c>
      <c r="G11" s="43">
        <f>SUM(B11:F11)</f>
        <v>1</v>
      </c>
      <c r="H11" s="14" t="str">
        <f>IF(ABS(G11-1)&gt;0.001,"⚠ ≠100%","OK")</f>
        <v>OK</v>
      </c>
    </row>
    <row r="12" spans="1:8" x14ac:dyDescent="0.25">
      <c r="A12" s="20" t="s">
        <v>163</v>
      </c>
      <c r="B12" s="42">
        <v>0</v>
      </c>
      <c r="C12" s="42">
        <v>0</v>
      </c>
      <c r="D12" s="42">
        <v>0</v>
      </c>
      <c r="E12" s="42">
        <v>0</v>
      </c>
      <c r="F12" s="42">
        <v>1.0000000000000002</v>
      </c>
      <c r="G12" s="43">
        <f>SUM(B12:F12)</f>
        <v>1.0000000000000002</v>
      </c>
      <c r="H12" s="14" t="str">
        <f>IF(ABS(G12-1)&gt;0.001,"⚠ ≠100%","OK")</f>
        <v>OK</v>
      </c>
    </row>
  </sheetData>
  <sheetProtection sheet="1" sort="0" autoFilter="0" algorithmName="SHA-512" hashValue="msVWFGlvffH4XNtSOkn1PkgGwuAuVSh+UOUiyrR2+TzPSjGJ9oJ2K+Whdx10h7j//owPQXqDb0+01tZCL2xcLA==" saltValue="AKNZkaa4jcJhMV/BDro6rg==" spinCount="100000"/>
  <mergeCells count="3">
    <mergeCell ref="A1:H1"/>
    <mergeCell ref="A2:H2"/>
    <mergeCell ref="A3:H3"/>
  </mergeCells>
  <pageMargins left="0.4" right="0.4" top="0.55" bottom="0.55" header="0.2" footer="0.25"/>
  <pageSetup paperSize="9" orientation="landscape" fitToWidth="1" fitToHeight="0"/>
  <headerFooter>
    <oddFooter>&amp;L&amp;8OrçaPRO — ORC-2026-0820&amp;C&amp;8Construtora Modelo Ltda&amp;R&amp;8Pág.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9E0B"/>
    <pageSetUpPr fitToPage="1"/>
  </sheetPr>
  <dimension ref="A1:H35"/>
  <sheetViews>
    <sheetView workbookViewId="0">
      <pane ySplit="7" topLeftCell="A8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2" customWidth="1"/>
    <col min="3" max="3" width="48" customWidth="1"/>
    <col min="4" max="4" width="7" customWidth="1"/>
    <col min="5" max="5" width="10" customWidth="1"/>
    <col min="6" max="6" width="15" customWidth="1"/>
    <col min="8" max="8" width="10" customWidth="1"/>
  </cols>
  <sheetData>
    <row r="1" spans="1:8" x14ac:dyDescent="0.25">
      <c r="A1" s="16" t="s">
        <v>0</v>
      </c>
      <c r="B1" s="16"/>
      <c r="C1" s="16"/>
      <c r="D1" s="16"/>
      <c r="E1" s="16"/>
      <c r="F1" s="16"/>
      <c r="G1" s="16"/>
      <c r="H1" s="16"/>
    </row>
    <row r="2" spans="1:8" x14ac:dyDescent="0.25">
      <c r="A2" s="17" t="s">
        <v>164</v>
      </c>
      <c r="B2" s="17"/>
      <c r="C2" s="17"/>
      <c r="D2" s="17"/>
      <c r="E2" s="17"/>
      <c r="F2" s="17"/>
      <c r="G2" s="17"/>
      <c r="H2" s="17"/>
    </row>
    <row r="3" spans="1:8" x14ac:dyDescent="0.25">
      <c r="A3" s="18" t="s">
        <v>39</v>
      </c>
      <c r="B3" s="18"/>
      <c r="C3" s="18"/>
      <c r="D3" s="18"/>
      <c r="E3" s="18"/>
      <c r="F3" s="18"/>
      <c r="G3" s="18"/>
      <c r="H3" s="18"/>
    </row>
    <row r="4" spans="1:4" x14ac:dyDescent="0.25">
      <c r="A4" s="44" t="s">
        <v>165</v>
      </c>
      <c r="B4" s="44" t="s">
        <v>166</v>
      </c>
      <c r="C4" s="44" t="s">
        <v>167</v>
      </c>
      <c r="D4" s="44" t="s">
        <v>168</v>
      </c>
    </row>
    <row r="5" spans="1:4" x14ac:dyDescent="0.25">
      <c r="A5" s="45" t="s">
        <v>169</v>
      </c>
      <c r="B5">
        <f>COUNTIF($A$9:$A$33,"A")</f>
        <v>12</v>
      </c>
      <c r="C5" s="39">
        <f>SUMIFS($F$9:$F$33,$A$9:$A$33,"A")</f>
        <v>185830</v>
      </c>
      <c r="D5" s="46">
        <f>C5/SUM($F$9:$F$33)</f>
        <v>0.7861361175037228</v>
      </c>
    </row>
    <row r="6" spans="1:4" x14ac:dyDescent="0.25">
      <c r="A6" s="47" t="s">
        <v>170</v>
      </c>
      <c r="B6">
        <f>COUNTIF($A$9:$A$33,"B")</f>
        <v>7</v>
      </c>
      <c r="C6" s="39">
        <f>SUMIFS($F$9:$F$33,$A$9:$A$33,"B")</f>
        <v>37468</v>
      </c>
      <c r="D6" s="46">
        <f>C6/SUM($F$9:$F$33)</f>
        <v>0.15850480573981318</v>
      </c>
    </row>
    <row r="7" spans="1:4" x14ac:dyDescent="0.25">
      <c r="A7" s="48" t="s">
        <v>171</v>
      </c>
      <c r="B7">
        <f>COUNTIF($A$9:$A$33,"C")</f>
        <v>6</v>
      </c>
      <c r="C7" s="39">
        <f>SUMIFS($F$9:$F$33,$A$9:$A$33,"C")</f>
        <v>13086</v>
      </c>
      <c r="D7" s="46">
        <f>C7/SUM($F$9:$F$33)</f>
        <v>0.05535907675646405</v>
      </c>
    </row>
    <row r="8" spans="1:8" x14ac:dyDescent="0.25">
      <c r="A8" s="19" t="s">
        <v>165</v>
      </c>
      <c r="B8" s="19" t="s">
        <v>64</v>
      </c>
      <c r="C8" s="19" t="s">
        <v>66</v>
      </c>
      <c r="D8" s="19" t="s">
        <v>67</v>
      </c>
      <c r="E8" s="19" t="s">
        <v>68</v>
      </c>
      <c r="F8" s="19" t="s">
        <v>70</v>
      </c>
      <c r="G8" s="19" t="s">
        <v>172</v>
      </c>
      <c r="H8" s="19" t="s">
        <v>173</v>
      </c>
    </row>
    <row r="9" spans="1:8" x14ac:dyDescent="0.25">
      <c r="A9" s="49" t="str">
        <f>IF(H9&lt;=0.8,"A",IF(H9&lt;=0.95,"B","C"))</f>
        <v>A</v>
      </c>
      <c r="B9" s="20" t="s">
        <v>100</v>
      </c>
      <c r="C9" s="20" t="s">
        <v>101</v>
      </c>
      <c r="D9" s="20" t="s">
        <v>77</v>
      </c>
      <c r="E9" s="50">
        <v>320</v>
      </c>
      <c r="F9" s="21">
        <f>SUMIFS('Analítica'!$H$7:$H$1006,'Analítica'!$B$7:$B$1006,B9)</f>
        <v>26240</v>
      </c>
      <c r="G9" s="23">
        <f>F9/SUM($F$9:$F$33)</f>
        <v>0.11100582103695683</v>
      </c>
      <c r="H9" s="23">
        <f>G9</f>
        <v>0.11100582103695683</v>
      </c>
    </row>
    <row r="10" spans="1:8" x14ac:dyDescent="0.25">
      <c r="A10" s="51" t="str">
        <f>IF(H10&lt;=0.8,"A",IF(H10&lt;=0.95,"B","C"))</f>
        <v>A</v>
      </c>
      <c r="B10" s="24" t="s">
        <v>102</v>
      </c>
      <c r="C10" s="24" t="s">
        <v>103</v>
      </c>
      <c r="D10" s="24" t="s">
        <v>95</v>
      </c>
      <c r="E10" s="52">
        <v>2100</v>
      </c>
      <c r="F10" s="25">
        <f>SUMIFS('Analítica'!$H$7:$H$1006,'Analítica'!$B$7:$B$1006,B10)</f>
        <v>26040</v>
      </c>
      <c r="G10" s="27">
        <f>F10/SUM($F$9:$F$33)</f>
        <v>0.11015974008393123</v>
      </c>
      <c r="H10" s="27">
        <f>H9+G10</f>
        <v>0.22116556112088806</v>
      </c>
    </row>
    <row r="11" spans="1:8" x14ac:dyDescent="0.25">
      <c r="A11" s="49" t="str">
        <f>IF(H11&lt;=0.8,"A",IF(H11&lt;=0.95,"B","C"))</f>
        <v>A</v>
      </c>
      <c r="B11" s="20" t="s">
        <v>108</v>
      </c>
      <c r="C11" s="20" t="s">
        <v>109</v>
      </c>
      <c r="D11" s="20" t="s">
        <v>77</v>
      </c>
      <c r="E11" s="50">
        <v>240</v>
      </c>
      <c r="F11" s="21">
        <f>SUMIFS('Analítica'!$H$7:$H$1006,'Analítica'!$B$7:$B$1006,B11)</f>
        <v>18720</v>
      </c>
      <c r="G11" s="23">
        <f>F11/SUM($F$9:$F$33)</f>
        <v>0.0791931772031948</v>
      </c>
      <c r="H11" s="23">
        <f>H10+G11</f>
        <v>0.30035873832408283</v>
      </c>
    </row>
    <row r="12" spans="1:8" x14ac:dyDescent="0.25">
      <c r="A12" s="51" t="str">
        <f>IF(H12&lt;=0.8,"A",IF(H12&lt;=0.95,"B","C"))</f>
        <v>A</v>
      </c>
      <c r="B12" s="24" t="s">
        <v>123</v>
      </c>
      <c r="C12" s="24" t="s">
        <v>124</v>
      </c>
      <c r="D12" s="24" t="s">
        <v>77</v>
      </c>
      <c r="E12" s="52">
        <v>480</v>
      </c>
      <c r="F12" s="25">
        <f>SUMIFS('Analítica'!$H$7:$H$1006,'Analítica'!$B$7:$B$1006,B12)</f>
        <v>18240</v>
      </c>
      <c r="G12" s="27">
        <f>F12/SUM($F$9:$F$33)</f>
        <v>0.07716258291593339</v>
      </c>
      <c r="H12" s="27">
        <f>H11+G12</f>
        <v>0.37752132124001625</v>
      </c>
    </row>
    <row r="13" spans="1:8" x14ac:dyDescent="0.25">
      <c r="A13" s="49" t="str">
        <f>IF(H13&lt;=0.8,"A",IF(H13&lt;=0.95,"B","C"))</f>
        <v>A</v>
      </c>
      <c r="B13" s="20" t="s">
        <v>98</v>
      </c>
      <c r="C13" s="20" t="s">
        <v>99</v>
      </c>
      <c r="D13" s="20" t="s">
        <v>86</v>
      </c>
      <c r="E13" s="50">
        <v>28</v>
      </c>
      <c r="F13" s="21">
        <f>SUMIFS('Analítica'!$H$7:$H$1006,'Analítica'!$B$7:$B$1006,B13)</f>
        <v>17920</v>
      </c>
      <c r="G13" s="23">
        <f>F13/SUM($F$9:$F$33)</f>
        <v>0.07580885339109246</v>
      </c>
      <c r="H13" s="23">
        <f>H12+G13</f>
        <v>0.4533301746311087</v>
      </c>
    </row>
    <row r="14" spans="1:8" x14ac:dyDescent="0.25">
      <c r="A14" s="51" t="str">
        <f>IF(H14&lt;=0.8,"A",IF(H14&lt;=0.95,"B","C"))</f>
        <v>A</v>
      </c>
      <c r="B14" s="24" t="s">
        <v>127</v>
      </c>
      <c r="C14" s="24" t="s">
        <v>128</v>
      </c>
      <c r="D14" s="24" t="s">
        <v>77</v>
      </c>
      <c r="E14" s="52">
        <v>120</v>
      </c>
      <c r="F14" s="25">
        <f>SUMIFS('Analítica'!$H$7:$H$1006,'Analítica'!$B$7:$B$1006,B14)</f>
        <v>14160</v>
      </c>
      <c r="G14" s="27">
        <f>F14/SUM($F$9:$F$33)</f>
        <v>0.05990253147421145</v>
      </c>
      <c r="H14" s="27">
        <f>H13+G14</f>
        <v>0.5132327061053201</v>
      </c>
    </row>
    <row r="15" spans="1:8" x14ac:dyDescent="0.25">
      <c r="A15" s="49" t="str">
        <f>IF(H15&lt;=0.8,"A",IF(H15&lt;=0.95,"B","C"))</f>
        <v>A</v>
      </c>
      <c r="B15" s="20" t="s">
        <v>115</v>
      </c>
      <c r="C15" s="20" t="s">
        <v>116</v>
      </c>
      <c r="D15" s="20" t="s">
        <v>77</v>
      </c>
      <c r="E15" s="50">
        <v>150</v>
      </c>
      <c r="F15" s="21">
        <f>SUMIFS('Analítica'!$H$7:$H$1006,'Analítica'!$B$7:$B$1006,B15)</f>
        <v>13800</v>
      </c>
      <c r="G15" s="23">
        <f>F15/SUM($F$9:$F$33)</f>
        <v>0.058379585758765395</v>
      </c>
      <c r="H15" s="23">
        <f>H14+G15</f>
        <v>0.5716122918640856</v>
      </c>
    </row>
    <row r="16" spans="1:8" x14ac:dyDescent="0.25">
      <c r="A16" s="51" t="str">
        <f>IF(H16&lt;=0.8,"A",IF(H16&lt;=0.95,"B","C"))</f>
        <v>A</v>
      </c>
      <c r="B16" s="24" t="s">
        <v>104</v>
      </c>
      <c r="C16" s="24" t="s">
        <v>105</v>
      </c>
      <c r="D16" s="24" t="s">
        <v>77</v>
      </c>
      <c r="E16" s="52">
        <v>90</v>
      </c>
      <c r="F16" s="25">
        <f>SUMIFS('Analítica'!$H$7:$H$1006,'Analítica'!$B$7:$B$1006,B16)</f>
        <v>13050</v>
      </c>
      <c r="G16" s="27">
        <f>F16/SUM($F$9:$F$33)</f>
        <v>0.05520678218491945</v>
      </c>
      <c r="H16" s="27">
        <f>H15+G16</f>
        <v>0.626819074049005</v>
      </c>
    </row>
    <row r="17" spans="1:8" x14ac:dyDescent="0.25">
      <c r="A17" s="49" t="str">
        <f>IF(H17&lt;=0.8,"A",IF(H17&lt;=0.95,"B","C"))</f>
        <v>A</v>
      </c>
      <c r="B17" s="20" t="s">
        <v>129</v>
      </c>
      <c r="C17" s="20" t="s">
        <v>130</v>
      </c>
      <c r="D17" s="20" t="s">
        <v>77</v>
      </c>
      <c r="E17" s="50">
        <v>480</v>
      </c>
      <c r="F17" s="21">
        <f>SUMIFS('Analítica'!$H$7:$H$1006,'Analítica'!$B$7:$B$1006,B17)</f>
        <v>12480</v>
      </c>
      <c r="G17" s="23">
        <f>F17/SUM($F$9:$F$33)</f>
        <v>0.052795451468796536</v>
      </c>
      <c r="H17" s="23">
        <f>H16+G17</f>
        <v>0.6796145255178015</v>
      </c>
    </row>
    <row r="18" spans="1:8" x14ac:dyDescent="0.25">
      <c r="A18" s="51" t="str">
        <f>IF(H18&lt;=0.8,"A",IF(H18&lt;=0.95,"B","C"))</f>
        <v>A</v>
      </c>
      <c r="B18" s="24" t="s">
        <v>93</v>
      </c>
      <c r="C18" s="24" t="s">
        <v>94</v>
      </c>
      <c r="D18" s="24" t="s">
        <v>95</v>
      </c>
      <c r="E18" s="52">
        <v>850</v>
      </c>
      <c r="F18" s="25">
        <f>SUMIFS('Analítica'!$H$7:$H$1006,'Analítica'!$B$7:$B$1006,B18)</f>
        <v>10540</v>
      </c>
      <c r="G18" s="27">
        <f>F18/SUM($F$9:$F$33)</f>
        <v>0.044588466224448356</v>
      </c>
      <c r="H18" s="27">
        <f>H17+G18</f>
        <v>0.7242029917422499</v>
      </c>
    </row>
    <row r="19" spans="1:8" x14ac:dyDescent="0.25">
      <c r="A19" s="49" t="str">
        <f>IF(H19&lt;=0.8,"A",IF(H19&lt;=0.95,"B","C"))</f>
        <v>A</v>
      </c>
      <c r="B19" s="20" t="s">
        <v>89</v>
      </c>
      <c r="C19" s="20" t="s">
        <v>90</v>
      </c>
      <c r="D19" s="20" t="s">
        <v>86</v>
      </c>
      <c r="E19" s="50">
        <v>12</v>
      </c>
      <c r="F19" s="21">
        <f>SUMIFS('Analítica'!$H$7:$H$1006,'Analítica'!$B$7:$B$1006,B19)</f>
        <v>7440</v>
      </c>
      <c r="G19" s="23">
        <f>F19/SUM($F$9:$F$33)</f>
        <v>0.03147421145255178</v>
      </c>
      <c r="H19" s="23">
        <f>H18+G19</f>
        <v>0.7556772031948017</v>
      </c>
    </row>
    <row r="20" spans="1:8" x14ac:dyDescent="0.25">
      <c r="A20" s="51" t="str">
        <f>IF(H20&lt;=0.8,"A",IF(H20&lt;=0.95,"B","C"))</f>
        <v>A</v>
      </c>
      <c r="B20" s="24" t="s">
        <v>117</v>
      </c>
      <c r="C20" s="24" t="s">
        <v>118</v>
      </c>
      <c r="D20" s="24" t="s">
        <v>77</v>
      </c>
      <c r="E20" s="52">
        <v>150</v>
      </c>
      <c r="F20" s="25">
        <f>SUMIFS('Analítica'!$H$7:$H$1006,'Analítica'!$B$7:$B$1006,B20)</f>
        <v>7200</v>
      </c>
      <c r="G20" s="27">
        <f>F20/SUM($F$9:$F$33)</f>
        <v>0.030458914308921073</v>
      </c>
      <c r="H20" s="27">
        <f>H19+G20</f>
        <v>0.7861361175037228</v>
      </c>
    </row>
    <row r="21" spans="1:8" x14ac:dyDescent="0.25">
      <c r="A21" s="53" t="str">
        <f>IF(H21&lt;=0.8,"A",IF(H21&lt;=0.95,"B","C"))</f>
        <v>B</v>
      </c>
      <c r="B21" s="20" t="s">
        <v>140</v>
      </c>
      <c r="C21" s="20" t="s">
        <v>142</v>
      </c>
      <c r="D21" s="20" t="s">
        <v>143</v>
      </c>
      <c r="E21" s="50">
        <v>1</v>
      </c>
      <c r="F21" s="21">
        <v>6800</v>
      </c>
      <c r="G21" s="23">
        <f>F21/SUM($F$9:$F$33)</f>
        <v>0.028766752402869907</v>
      </c>
      <c r="H21" s="23">
        <f>H20+G21</f>
        <v>0.8149028699065927</v>
      </c>
    </row>
    <row r="22" spans="1:8" x14ac:dyDescent="0.25">
      <c r="A22" s="54" t="str">
        <f>IF(H22&lt;=0.8,"A",IF(H22&lt;=0.95,"B","C"))</f>
        <v>B</v>
      </c>
      <c r="B22" s="24" t="s">
        <v>138</v>
      </c>
      <c r="C22" s="24" t="s">
        <v>139</v>
      </c>
      <c r="D22" s="24" t="s">
        <v>137</v>
      </c>
      <c r="E22" s="52">
        <v>42</v>
      </c>
      <c r="F22" s="25">
        <f>SUMIFS('Analítica'!$H$7:$H$1006,'Analítica'!$B$7:$B$1006,B22)</f>
        <v>5964</v>
      </c>
      <c r="G22" s="27">
        <f>F22/SUM($F$9:$F$33)</f>
        <v>0.025230134019222958</v>
      </c>
      <c r="H22" s="27">
        <f>H21+G22</f>
        <v>0.8401330039258156</v>
      </c>
    </row>
    <row r="23" spans="1:8" x14ac:dyDescent="0.25">
      <c r="A23" s="53" t="str">
        <f>IF(H23&lt;=0.8,"A",IF(H23&lt;=0.95,"B","C"))</f>
        <v>B</v>
      </c>
      <c r="B23" s="20" t="s">
        <v>135</v>
      </c>
      <c r="C23" s="20" t="s">
        <v>136</v>
      </c>
      <c r="D23" s="20" t="s">
        <v>137</v>
      </c>
      <c r="E23" s="50">
        <v>28</v>
      </c>
      <c r="F23" s="21">
        <f>SUMIFS('Analítica'!$H$7:$H$1006,'Analítica'!$B$7:$B$1006,B23)</f>
        <v>5180</v>
      </c>
      <c r="G23" s="23">
        <f>F23/SUM($F$9:$F$33)</f>
        <v>0.021913496683362663</v>
      </c>
      <c r="H23" s="23">
        <f>H22+G23</f>
        <v>0.8620465006091783</v>
      </c>
    </row>
    <row r="24" spans="1:8" x14ac:dyDescent="0.25">
      <c r="A24" s="54" t="str">
        <f>IF(H24&lt;=0.8,"A",IF(H24&lt;=0.95,"B","C"))</f>
        <v>B</v>
      </c>
      <c r="B24" s="24" t="s">
        <v>131</v>
      </c>
      <c r="C24" s="24" t="s">
        <v>132</v>
      </c>
      <c r="D24" s="24" t="s">
        <v>77</v>
      </c>
      <c r="E24" s="52">
        <v>60</v>
      </c>
      <c r="F24" s="25">
        <f>SUMIFS('Analítica'!$H$7:$H$1006,'Analítica'!$B$7:$B$1006,B24)</f>
        <v>5100</v>
      </c>
      <c r="G24" s="27">
        <f>F24/SUM($F$9:$F$33)</f>
        <v>0.021575064302152433</v>
      </c>
      <c r="H24" s="27">
        <f>H23+G24</f>
        <v>0.8836215649113306</v>
      </c>
    </row>
    <row r="25" spans="1:8" x14ac:dyDescent="0.25">
      <c r="A25" s="53" t="str">
        <f>IF(H25&lt;=0.8,"A",IF(H25&lt;=0.95,"B","C"))</f>
        <v>B</v>
      </c>
      <c r="B25" s="20" t="s">
        <v>125</v>
      </c>
      <c r="C25" s="20" t="s">
        <v>126</v>
      </c>
      <c r="D25" s="20" t="s">
        <v>77</v>
      </c>
      <c r="E25" s="50">
        <v>120</v>
      </c>
      <c r="F25" s="21">
        <f>SUMIFS('Analítica'!$H$7:$H$1006,'Analítica'!$B$7:$B$1006,B25)</f>
        <v>5040</v>
      </c>
      <c r="G25" s="23">
        <f>F25/SUM($F$9:$F$33)</f>
        <v>0.021321240016244754</v>
      </c>
      <c r="H25" s="23">
        <f>H24+G25</f>
        <v>0.9049428049275755</v>
      </c>
    </row>
    <row r="26" spans="1:8" x14ac:dyDescent="0.25">
      <c r="A26" s="54" t="str">
        <f>IF(H26&lt;=0.8,"A",IF(H26&lt;=0.95,"B","C"))</f>
        <v>B</v>
      </c>
      <c r="B26" s="24" t="s">
        <v>121</v>
      </c>
      <c r="C26" s="24" t="s">
        <v>122</v>
      </c>
      <c r="D26" s="24" t="s">
        <v>77</v>
      </c>
      <c r="E26" s="52">
        <v>480</v>
      </c>
      <c r="F26" s="25">
        <f>SUMIFS('Analítica'!$H$7:$H$1006,'Analítica'!$B$7:$B$1006,B26)</f>
        <v>4704</v>
      </c>
      <c r="G26" s="27">
        <f>F26/SUM($F$9:$F$33)</f>
        <v>0.01989982401516177</v>
      </c>
      <c r="H26" s="27">
        <f>H25+G26</f>
        <v>0.9248426289427373</v>
      </c>
    </row>
    <row r="27" spans="1:8" x14ac:dyDescent="0.25">
      <c r="A27" s="53" t="str">
        <f>IF(H27&lt;=0.8,"A",IF(H27&lt;=0.95,"B","C"))</f>
        <v>B</v>
      </c>
      <c r="B27" s="20" t="s">
        <v>91</v>
      </c>
      <c r="C27" s="20" t="s">
        <v>92</v>
      </c>
      <c r="D27" s="20" t="s">
        <v>77</v>
      </c>
      <c r="E27" s="50">
        <v>60</v>
      </c>
      <c r="F27" s="21">
        <f>SUMIFS('Analítica'!$H$7:$H$1006,'Analítica'!$B$7:$B$1006,B27)</f>
        <v>4680</v>
      </c>
      <c r="G27" s="23">
        <f>F27/SUM($F$9:$F$33)</f>
        <v>0.0197982943007987</v>
      </c>
      <c r="H27" s="23">
        <f>H26+G27</f>
        <v>0.944640923243536</v>
      </c>
    </row>
    <row r="28" spans="1:8" x14ac:dyDescent="0.25">
      <c r="A28" s="55" t="str">
        <f>IF(H28&lt;=0.8,"A",IF(H28&lt;=0.95,"B","C"))</f>
        <v>C</v>
      </c>
      <c r="B28" s="24" t="s">
        <v>74</v>
      </c>
      <c r="C28" s="24" t="s">
        <v>76</v>
      </c>
      <c r="D28" s="24" t="s">
        <v>77</v>
      </c>
      <c r="E28" s="52">
        <v>6</v>
      </c>
      <c r="F28" s="25">
        <f>SUMIFS('Analítica'!$H$7:$H$1006,'Analítica'!$B$7:$B$1006,B28)</f>
        <v>3672</v>
      </c>
      <c r="G28" s="27">
        <f>F28/SUM($F$9:$F$33)</f>
        <v>0.015534046297549751</v>
      </c>
      <c r="H28" s="27">
        <f>H27+G28</f>
        <v>0.9601749695410856</v>
      </c>
    </row>
    <row r="29" spans="1:8" x14ac:dyDescent="0.25">
      <c r="A29" s="56" t="str">
        <f>IF(H29&lt;=0.8,"A",IF(H29&lt;=0.95,"B","C"))</f>
        <v>C</v>
      </c>
      <c r="B29" s="20" t="s">
        <v>80</v>
      </c>
      <c r="C29" s="20" t="s">
        <v>81</v>
      </c>
      <c r="D29" s="20" t="s">
        <v>77</v>
      </c>
      <c r="E29" s="50">
        <v>120</v>
      </c>
      <c r="F29" s="21">
        <f>SUMIFS('Analítica'!$H$7:$H$1006,'Analítica'!$B$7:$B$1006,B29)</f>
        <v>3408</v>
      </c>
      <c r="G29" s="23">
        <f>F29/SUM($F$9:$F$33)</f>
        <v>0.014417219439555977</v>
      </c>
      <c r="H29" s="23">
        <f>H28+G29</f>
        <v>0.9745921889806417</v>
      </c>
    </row>
    <row r="30" spans="1:8" x14ac:dyDescent="0.25">
      <c r="A30" s="55" t="str">
        <f>IF(H30&lt;=0.8,"A",IF(H30&lt;=0.95,"B","C"))</f>
        <v>C</v>
      </c>
      <c r="B30" s="24" t="s">
        <v>87</v>
      </c>
      <c r="C30" s="24" t="s">
        <v>88</v>
      </c>
      <c r="D30" s="24" t="s">
        <v>86</v>
      </c>
      <c r="E30" s="52">
        <v>4</v>
      </c>
      <c r="F30" s="25">
        <f>SUMIFS('Analítica'!$H$7:$H$1006,'Analítica'!$B$7:$B$1006,B30)</f>
        <v>2080</v>
      </c>
      <c r="G30" s="27">
        <f>F30/SUM($F$9:$F$33)</f>
        <v>0.00879924191146609</v>
      </c>
      <c r="H30" s="27">
        <f>H29+G30</f>
        <v>0.9833914308921078</v>
      </c>
    </row>
    <row r="31" spans="1:8" x14ac:dyDescent="0.25">
      <c r="A31" s="56" t="str">
        <f>IF(H31&lt;=0.8,"A",IF(H31&lt;=0.95,"B","C"))</f>
        <v>C</v>
      </c>
      <c r="B31" s="20" t="s">
        <v>84</v>
      </c>
      <c r="C31" s="20" t="s">
        <v>85</v>
      </c>
      <c r="D31" s="20" t="s">
        <v>86</v>
      </c>
      <c r="E31" s="50">
        <v>18</v>
      </c>
      <c r="F31" s="21">
        <f>SUMIFS('Analítica'!$H$7:$H$1006,'Analítica'!$B$7:$B$1006,B31)</f>
        <v>1710</v>
      </c>
      <c r="G31" s="23">
        <f>F31/SUM($F$9:$F$33)</f>
        <v>0.0072339921483687555</v>
      </c>
      <c r="H31" s="23">
        <f>H30+G31</f>
        <v>0.9906254230404765</v>
      </c>
    </row>
    <row r="32" spans="1:8" x14ac:dyDescent="0.25">
      <c r="A32" s="55" t="str">
        <f>IF(H32&lt;=0.8,"A",IF(H32&lt;=0.95,"B","C"))</f>
        <v>C</v>
      </c>
      <c r="B32" s="24" t="s">
        <v>110</v>
      </c>
      <c r="C32" s="24" t="s">
        <v>111</v>
      </c>
      <c r="D32" s="24" t="s">
        <v>112</v>
      </c>
      <c r="E32" s="52">
        <v>40</v>
      </c>
      <c r="F32" s="25">
        <f>SUMIFS('Analítica'!$H$7:$H$1006,'Analítica'!$B$7:$B$1006,B32)</f>
        <v>1520</v>
      </c>
      <c r="G32" s="27">
        <f>F32/SUM($F$9:$F$33)</f>
        <v>0.00643021524299445</v>
      </c>
      <c r="H32" s="27">
        <f>H31+G32</f>
        <v>0.997055638283471</v>
      </c>
    </row>
    <row r="33" spans="1:8" x14ac:dyDescent="0.25">
      <c r="A33" s="56" t="str">
        <f>IF(H33&lt;=0.8,"A",IF(H33&lt;=0.95,"B","C"))</f>
        <v>C</v>
      </c>
      <c r="B33" s="20" t="s">
        <v>78</v>
      </c>
      <c r="C33" s="20" t="s">
        <v>79</v>
      </c>
      <c r="D33" s="20" t="s">
        <v>77</v>
      </c>
      <c r="E33" s="50">
        <v>120</v>
      </c>
      <c r="F33" s="21">
        <f>SUMIFS('Analítica'!$H$7:$H$1006,'Analítica'!$B$7:$B$1006,B33)</f>
        <v>696</v>
      </c>
      <c r="G33" s="23">
        <f>F33/SUM($F$9:$F$33)</f>
        <v>0.0029443617165290374</v>
      </c>
      <c r="H33" s="23">
        <f>H32+G33</f>
        <v>1</v>
      </c>
    </row>
    <row r="35" spans="1:8" x14ac:dyDescent="0.25">
      <c r="A35" s="18" t="s">
        <v>174</v>
      </c>
      <c r="B35" s="18"/>
      <c r="C35" s="18"/>
      <c r="D35" s="18"/>
      <c r="E35" s="18"/>
      <c r="F35" s="18"/>
      <c r="G35" s="18"/>
      <c r="H35" s="18"/>
    </row>
  </sheetData>
  <sheetProtection sheet="1" sort="0" autoFilter="0" algorithmName="SHA-512" hashValue="ZHluGFwwxvcX+/4TrER6n+xyX5OF24PiX7WUfAAkmWJSDI0HOe+eHlwnkdqSx+/a2qVqGf+S91EHPzlgFHiV5A==" saltValue="RQueS0jdkmFcvFWQii0Sug==" spinCount="100000"/>
  <mergeCells count="4">
    <mergeCell ref="A1:H1"/>
    <mergeCell ref="A2:H2"/>
    <mergeCell ref="A3:H3"/>
    <mergeCell ref="A35:H35"/>
  </mergeCells>
  <pageMargins left="0.4" right="0.4" top="0.55" bottom="0.55" header="0.2" footer="0.25"/>
  <pageSetup paperSize="9" orientation="portrait" fitToWidth="1" fitToHeight="0"/>
  <headerFooter>
    <oddFooter>&amp;L&amp;8OrçaPRO — ORC-2026-0820&amp;C&amp;8Construtora Modelo Ltda&amp;R&amp;8Pág.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5CF6"/>
    <pageSetUpPr fitToPage="1"/>
  </sheetPr>
  <dimension ref="A1:G13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34" customWidth="1"/>
    <col min="2" max="6" width="13" customWidth="1"/>
    <col min="7" max="7" width="15" customWidth="1"/>
  </cols>
  <sheetData>
    <row r="1" spans="1:7" x14ac:dyDescent="0.25">
      <c r="A1" s="16" t="s">
        <v>0</v>
      </c>
      <c r="B1" s="16"/>
      <c r="C1" s="16"/>
      <c r="D1" s="16"/>
      <c r="E1" s="16"/>
      <c r="F1" s="16"/>
      <c r="G1" s="16"/>
    </row>
    <row r="2" spans="1:7" x14ac:dyDescent="0.25">
      <c r="A2" s="17" t="s">
        <v>175</v>
      </c>
      <c r="B2" s="17"/>
      <c r="C2" s="17"/>
      <c r="D2" s="17"/>
      <c r="E2" s="17"/>
      <c r="F2" s="17"/>
      <c r="G2" s="17"/>
    </row>
    <row r="3" spans="1:7" x14ac:dyDescent="0.25">
      <c r="A3" s="18" t="s">
        <v>39</v>
      </c>
      <c r="B3" s="18"/>
      <c r="C3" s="18"/>
      <c r="D3" s="18"/>
      <c r="E3" s="18"/>
      <c r="F3" s="18"/>
      <c r="G3" s="18"/>
    </row>
    <row r="4" spans="1:7" x14ac:dyDescent="0.25">
      <c r="A4" s="19" t="s">
        <v>41</v>
      </c>
      <c r="B4" s="19" t="s">
        <v>150</v>
      </c>
      <c r="C4" s="19" t="s">
        <v>151</v>
      </c>
      <c r="D4" s="19" t="s">
        <v>152</v>
      </c>
      <c r="E4" s="19" t="s">
        <v>153</v>
      </c>
      <c r="F4" s="19" t="s">
        <v>154</v>
      </c>
      <c r="G4" s="19" t="s">
        <v>176</v>
      </c>
    </row>
    <row r="5" spans="1:7" x14ac:dyDescent="0.25">
      <c r="A5" s="20" t="s">
        <v>157</v>
      </c>
      <c r="B5" s="21">
        <f>'Sintética'!$F$7*'Parâmetros'!B6</f>
        <v>9795.43</v>
      </c>
      <c r="C5" s="21">
        <f>'Sintética'!$F$7*'Parâmetros'!C6</f>
        <v>0</v>
      </c>
      <c r="D5" s="21">
        <f>'Sintética'!$F$7*'Parâmetros'!D6</f>
        <v>0</v>
      </c>
      <c r="E5" s="21">
        <f>'Sintética'!$F$7*'Parâmetros'!E6</f>
        <v>0</v>
      </c>
      <c r="F5" s="21">
        <f>'Sintética'!$F$7*'Parâmetros'!F6</f>
        <v>0</v>
      </c>
      <c r="G5" s="57">
        <f>SUM(B5:F5)</f>
        <v>9795.43</v>
      </c>
    </row>
    <row r="6" spans="1:7" x14ac:dyDescent="0.25">
      <c r="A6" s="24" t="s">
        <v>158</v>
      </c>
      <c r="B6" s="25">
        <f>'Sintética'!$F$8*'Parâmetros'!B7</f>
        <v>33319.07</v>
      </c>
      <c r="C6" s="25">
        <f>'Sintética'!$F$8*'Parâmetros'!C7</f>
        <v>0</v>
      </c>
      <c r="D6" s="25">
        <f>'Sintética'!$F$8*'Parâmetros'!D7</f>
        <v>0</v>
      </c>
      <c r="E6" s="25">
        <f>'Sintética'!$F$8*'Parâmetros'!E7</f>
        <v>0</v>
      </c>
      <c r="F6" s="25">
        <f>'Sintética'!$F$8*'Parâmetros'!F7</f>
        <v>0</v>
      </c>
      <c r="G6" s="58">
        <f>SUM(B6:F6)</f>
        <v>33319.07</v>
      </c>
    </row>
    <row r="7" spans="1:7" x14ac:dyDescent="0.25">
      <c r="A7" s="20" t="s">
        <v>159</v>
      </c>
      <c r="B7" s="21">
        <f>'Sintética'!$F$9*'Parâmetros'!B8</f>
        <v>16440.08400000001</v>
      </c>
      <c r="C7" s="21">
        <f>'Sintética'!$F$9*'Parâmetros'!C8</f>
        <v>59554.58400000001</v>
      </c>
      <c r="D7" s="21">
        <f>'Sintética'!$F$9*'Parâmetros'!D8</f>
        <v>28875.341999999982</v>
      </c>
      <c r="E7" s="21">
        <f>'Sintética'!$F$9*'Parâmetros'!E8</f>
        <v>0</v>
      </c>
      <c r="F7" s="21">
        <f>'Sintética'!$F$9*'Parâmetros'!F8</f>
        <v>0</v>
      </c>
      <c r="G7" s="57">
        <f>SUM(B7:F7)</f>
        <v>104870.01</v>
      </c>
    </row>
    <row r="8" spans="1:7" x14ac:dyDescent="0.25">
      <c r="A8" s="24" t="s">
        <v>160</v>
      </c>
      <c r="B8" s="25">
        <f>'Sintética'!$F$10*'Parâmetros'!B9</f>
        <v>0</v>
      </c>
      <c r="C8" s="25">
        <f>'Sintética'!$F$10*'Parâmetros'!C9</f>
        <v>0</v>
      </c>
      <c r="D8" s="25">
        <f>'Sintética'!$F$10*'Parâmetros'!D9</f>
        <v>25496.330000000034</v>
      </c>
      <c r="E8" s="25">
        <f>'Sintética'!$F$10*'Parâmetros'!E9</f>
        <v>0</v>
      </c>
      <c r="F8" s="25">
        <f>'Sintética'!$F$10*'Parâmetros'!F9</f>
        <v>0</v>
      </c>
      <c r="G8" s="58">
        <f>SUM(B8:F8)</f>
        <v>25496.33</v>
      </c>
    </row>
    <row r="9" spans="1:7" x14ac:dyDescent="0.25">
      <c r="A9" s="20" t="s">
        <v>161</v>
      </c>
      <c r="B9" s="21">
        <f>'Sintética'!$F$11*'Parâmetros'!B10</f>
        <v>0</v>
      </c>
      <c r="C9" s="21">
        <f>'Sintética'!$F$11*'Parâmetros'!C10</f>
        <v>0</v>
      </c>
      <c r="D9" s="21">
        <f>'Sintética'!$F$11*'Parâmetros'!D10</f>
        <v>5182.911999999978</v>
      </c>
      <c r="E9" s="21">
        <f>'Sintética'!$F$11*'Parâmetros'!E10</f>
        <v>21270.78800000001</v>
      </c>
      <c r="F9" s="21">
        <f>'Sintética'!$F$11*'Parâmetros'!F10</f>
        <v>0</v>
      </c>
      <c r="G9" s="57">
        <f>SUM(B9:F9)</f>
        <v>26453.7</v>
      </c>
    </row>
    <row r="10" spans="1:7" x14ac:dyDescent="0.25">
      <c r="A10" s="24" t="s">
        <v>162</v>
      </c>
      <c r="B10" s="25">
        <f>'Sintética'!$F$12*'Parâmetros'!B11</f>
        <v>0</v>
      </c>
      <c r="C10" s="25">
        <f>'Sintética'!$F$12*'Parâmetros'!C11</f>
        <v>0</v>
      </c>
      <c r="D10" s="25">
        <f>'Sintética'!$F$12*'Parâmetros'!D11</f>
        <v>0</v>
      </c>
      <c r="E10" s="25">
        <f>'Sintética'!$F$12*'Parâmetros'!E11</f>
        <v>38283.79600000002</v>
      </c>
      <c r="F10" s="25">
        <f>'Sintética'!$F$12*'Parâmetros'!F11</f>
        <v>36950.52399999999</v>
      </c>
      <c r="G10" s="58">
        <f>SUM(B10:F10)</f>
        <v>75234.32</v>
      </c>
    </row>
    <row r="11" spans="1:7" x14ac:dyDescent="0.25">
      <c r="A11" s="20" t="s">
        <v>163</v>
      </c>
      <c r="B11" s="21">
        <f>'Sintética'!$F$13*'Parâmetros'!B12</f>
        <v>0</v>
      </c>
      <c r="C11" s="21">
        <f>'Sintética'!$F$13*'Parâmetros'!C12</f>
        <v>0</v>
      </c>
      <c r="D11" s="21">
        <f>'Sintética'!$F$13*'Parâmetros'!D12</f>
        <v>0</v>
      </c>
      <c r="E11" s="21">
        <f>'Sintética'!$F$13*'Parâmetros'!E12</f>
        <v>0</v>
      </c>
      <c r="F11" s="21">
        <f>'Sintética'!$F$13*'Parâmetros'!F12</f>
        <v>22604.06000000001</v>
      </c>
      <c r="G11" s="57">
        <f>SUM(B11:F11)</f>
        <v>22604.06</v>
      </c>
    </row>
    <row r="12" spans="1:7" x14ac:dyDescent="0.25">
      <c r="A12" s="28" t="s">
        <v>177</v>
      </c>
      <c r="B12" s="29">
        <f>SUM(B5:B11)</f>
        <v>59554.58400000001</v>
      </c>
      <c r="C12" s="29">
        <f>SUM(C5:C11)</f>
        <v>59554.58400000001</v>
      </c>
      <c r="D12" s="29">
        <f>SUM(D5:D11)</f>
        <v>59554.584</v>
      </c>
      <c r="E12" s="29">
        <f>SUM(E5:E11)</f>
        <v>59554.58400000003</v>
      </c>
      <c r="F12" s="29">
        <f>SUM(F5:F11)</f>
        <v>59554.584</v>
      </c>
      <c r="G12" s="29">
        <f>SUM(B12:F12)</f>
        <v>297772.92000000004</v>
      </c>
    </row>
    <row r="13" spans="1:6" x14ac:dyDescent="0.25">
      <c r="A13" s="44" t="s">
        <v>178</v>
      </c>
      <c r="B13" s="59">
        <f>SUM($B$12:B12)/$G$12</f>
        <v>0.2</v>
      </c>
      <c r="C13" s="59">
        <f>SUM($B$12:C12)/$G$12</f>
        <v>0.4</v>
      </c>
      <c r="D13" s="59">
        <f>SUM($B$12:D12)/$G$12</f>
        <v>0.6000000000000001</v>
      </c>
      <c r="E13" s="59">
        <f>SUM($B$12:E12)/$G$12</f>
        <v>0.8000000000000002</v>
      </c>
      <c r="F13" s="59">
        <f>SUM($B$12:F12)/$G$12</f>
        <v>1</v>
      </c>
    </row>
  </sheetData>
  <sheetProtection sheet="1" sort="0" autoFilter="0" algorithmName="SHA-512" hashValue="d3cs05nV4nFCW8WN1UZTknPgfn+9uaZxVw0JkM8Z0PitX6tsYDuPpOzLpv34Jq907caK0P0RpkRmDlssjKBiKg==" saltValue="X9JkBTEZz67llvEJHgaqXA==" spinCount="100000"/>
  <mergeCells count="3">
    <mergeCell ref="A1:G1"/>
    <mergeCell ref="A2:G2"/>
    <mergeCell ref="A3:G3"/>
  </mergeCells>
  <pageMargins left="0.4" right="0.4" top="0.55" bottom="0.55" header="0.2" footer="0.25"/>
  <pageSetup paperSize="9" orientation="landscape" fitToWidth="1" fitToHeight="0"/>
  <headerFooter>
    <oddFooter>&amp;L&amp;8OrçaPRO — ORC-2026-0820&amp;C&amp;8Construtora Modelo Ltda&amp;R&amp;8Pág.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EA5E9"/>
  </sheetPr>
  <dimension ref="A1:Z12"/>
  <sheetViews>
    <sheetView workbookViewId="0">
      <pane xSplit="5" ySplit="5" topLeftCell="F6" activePane="bottomRight" state="frozen"/>
      <selection pane="bottomRight"/>
    </sheetView>
  </sheetViews>
  <sheetFormatPr defaultRowHeight="15" outlineLevelRow="0" outlineLevelCol="0" x14ac:dyDescent="55"/>
  <cols>
    <col min="1" max="1" width="30" customWidth="1"/>
    <col min="2" max="2" width="18" customWidth="1"/>
    <col min="3" max="3" width="7" customWidth="1"/>
    <col min="4" max="5" width="11" customWidth="1"/>
    <col min="6" max="26" width="3.4" customWidth="1"/>
  </cols>
  <sheetData>
    <row r="1" spans="1:26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5">
      <c r="A2" s="17" t="s">
        <v>179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60" t="s">
        <v>180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5" spans="1:26" x14ac:dyDescent="0.25">
      <c r="A5" s="19" t="s">
        <v>41</v>
      </c>
      <c r="B5" s="19" t="s">
        <v>181</v>
      </c>
      <c r="C5" s="19" t="s">
        <v>182</v>
      </c>
      <c r="D5" s="19" t="s">
        <v>183</v>
      </c>
      <c r="E5" s="19" t="s">
        <v>184</v>
      </c>
      <c r="F5" s="61" t="s">
        <v>185</v>
      </c>
      <c r="G5" s="61" t="s">
        <v>186</v>
      </c>
      <c r="H5" s="61" t="s">
        <v>187</v>
      </c>
      <c r="I5" s="61" t="s">
        <v>188</v>
      </c>
      <c r="J5" s="61" t="s">
        <v>189</v>
      </c>
      <c r="K5" s="61" t="s">
        <v>190</v>
      </c>
      <c r="L5" s="61" t="s">
        <v>191</v>
      </c>
      <c r="M5" s="61" t="s">
        <v>192</v>
      </c>
      <c r="N5" s="61" t="s">
        <v>193</v>
      </c>
      <c r="O5" s="61" t="s">
        <v>194</v>
      </c>
      <c r="P5" s="61" t="s">
        <v>195</v>
      </c>
      <c r="Q5" s="61" t="s">
        <v>196</v>
      </c>
      <c r="R5" s="61" t="s">
        <v>197</v>
      </c>
      <c r="S5" s="61" t="s">
        <v>198</v>
      </c>
      <c r="T5" s="61" t="s">
        <v>199</v>
      </c>
      <c r="U5" s="61" t="s">
        <v>200</v>
      </c>
      <c r="V5" s="61" t="s">
        <v>201</v>
      </c>
      <c r="W5" s="61" t="s">
        <v>202</v>
      </c>
      <c r="X5" s="61" t="s">
        <v>203</v>
      </c>
      <c r="Y5" s="61" t="s">
        <v>204</v>
      </c>
      <c r="Z5" s="61" t="s">
        <v>205</v>
      </c>
    </row>
    <row r="6" spans="1:26" x14ac:dyDescent="0.25">
      <c r="A6" s="20" t="s">
        <v>157</v>
      </c>
      <c r="B6" s="20" t="s">
        <v>206</v>
      </c>
      <c r="C6" s="20">
        <v>2</v>
      </c>
      <c r="D6" s="20" t="s">
        <v>207</v>
      </c>
      <c r="E6" s="20" t="s">
        <v>208</v>
      </c>
      <c r="F6" s="62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x14ac:dyDescent="0.25">
      <c r="A7" s="20" t="s">
        <v>158</v>
      </c>
      <c r="B7" s="20" t="s">
        <v>209</v>
      </c>
      <c r="C7" s="20">
        <v>26</v>
      </c>
      <c r="D7" s="20" t="s">
        <v>208</v>
      </c>
      <c r="E7" s="20" t="s">
        <v>210</v>
      </c>
      <c r="F7" s="63"/>
      <c r="G7" s="63"/>
      <c r="H7" s="63"/>
      <c r="I7" s="63"/>
      <c r="J7" s="63"/>
      <c r="K7" s="63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x14ac:dyDescent="0.25">
      <c r="A8" s="20" t="s">
        <v>159</v>
      </c>
      <c r="B8" s="20" t="s">
        <v>209</v>
      </c>
      <c r="C8" s="20">
        <v>71</v>
      </c>
      <c r="D8" s="20" t="s">
        <v>211</v>
      </c>
      <c r="E8" s="20" t="s">
        <v>212</v>
      </c>
      <c r="F8" s="20"/>
      <c r="G8" s="20"/>
      <c r="H8" s="20"/>
      <c r="I8" s="20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20"/>
      <c r="Z8" s="20"/>
    </row>
    <row r="9" spans="1:26" x14ac:dyDescent="0.25">
      <c r="A9" s="20" t="s">
        <v>160</v>
      </c>
      <c r="B9" s="20" t="s">
        <v>213</v>
      </c>
      <c r="C9" s="20">
        <v>6</v>
      </c>
      <c r="D9" s="20" t="s">
        <v>214</v>
      </c>
      <c r="E9" s="20" t="s">
        <v>215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64"/>
      <c r="U9" s="64"/>
      <c r="V9" s="20"/>
      <c r="W9" s="20"/>
      <c r="X9" s="20"/>
      <c r="Y9" s="20"/>
      <c r="Z9" s="20"/>
    </row>
    <row r="10" spans="1:26" x14ac:dyDescent="0.25">
      <c r="A10" s="20" t="s">
        <v>161</v>
      </c>
      <c r="B10" s="20" t="s">
        <v>55</v>
      </c>
      <c r="C10" s="20">
        <v>4</v>
      </c>
      <c r="D10" s="20" t="s">
        <v>216</v>
      </c>
      <c r="E10" s="20" t="s">
        <v>217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65"/>
      <c r="V10" s="20"/>
      <c r="W10" s="20"/>
      <c r="X10" s="20"/>
      <c r="Y10" s="20"/>
      <c r="Z10" s="20"/>
    </row>
    <row r="11" spans="1:26" x14ac:dyDescent="0.25">
      <c r="A11" s="20" t="s">
        <v>162</v>
      </c>
      <c r="B11" s="20" t="s">
        <v>218</v>
      </c>
      <c r="C11" s="20">
        <v>24</v>
      </c>
      <c r="D11" s="20" t="s">
        <v>219</v>
      </c>
      <c r="E11" s="20" t="s">
        <v>220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66"/>
      <c r="V11" s="66"/>
      <c r="W11" s="66"/>
      <c r="X11" s="66"/>
      <c r="Y11" s="66"/>
      <c r="Z11" s="66"/>
    </row>
    <row r="12" spans="1:26" x14ac:dyDescent="0.25">
      <c r="A12" s="20" t="s">
        <v>163</v>
      </c>
      <c r="B12" s="20" t="s">
        <v>59</v>
      </c>
      <c r="C12" s="20">
        <v>2</v>
      </c>
      <c r="D12" s="20" t="s">
        <v>221</v>
      </c>
      <c r="E12" s="20" t="s">
        <v>222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67"/>
      <c r="Z12" s="20"/>
    </row>
  </sheetData>
  <mergeCells count="3">
    <mergeCell ref="A1:Z1"/>
    <mergeCell ref="A2:Z2"/>
    <mergeCell ref="A3:Z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4748B"/>
    <pageSetUpPr fitToPage="1"/>
  </sheetPr>
  <dimension ref="A1:K27"/>
  <sheetFormatPr defaultRowHeight="15" outlineLevelRow="0" outlineLevelCol="0" x14ac:dyDescent="55"/>
  <cols>
    <col min="1" max="1" width="12" customWidth="1"/>
    <col min="2" max="2" width="6" customWidth="1"/>
    <col min="3" max="3" width="11" customWidth="1"/>
    <col min="4" max="4" width="10" customWidth="1"/>
    <col min="5" max="5" width="50" customWidth="1"/>
    <col min="6" max="6" width="6" customWidth="1"/>
    <col min="7" max="7" width="10" customWidth="1"/>
    <col min="8" max="10" width="13" customWidth="1"/>
    <col min="11" max="11" width="14" customWidth="1"/>
  </cols>
  <sheetData>
    <row r="1" spans="1:1" x14ac:dyDescent="0.25">
      <c r="A1" s="68" t="s">
        <v>223</v>
      </c>
    </row>
    <row r="2" spans="1:11" x14ac:dyDescent="0.25">
      <c r="A2" t="s">
        <v>41</v>
      </c>
      <c r="B2" t="s">
        <v>40</v>
      </c>
      <c r="C2" t="s">
        <v>224</v>
      </c>
      <c r="D2" t="s">
        <v>65</v>
      </c>
      <c r="E2" t="s">
        <v>225</v>
      </c>
      <c r="F2" t="s">
        <v>67</v>
      </c>
      <c r="G2" t="s">
        <v>68</v>
      </c>
      <c r="H2" t="s">
        <v>226</v>
      </c>
      <c r="I2" t="s">
        <v>227</v>
      </c>
      <c r="J2" t="s">
        <v>228</v>
      </c>
      <c r="K2" t="s">
        <v>229</v>
      </c>
    </row>
    <row r="3" spans="1:11" x14ac:dyDescent="0.25">
      <c r="A3" t="s">
        <v>46</v>
      </c>
      <c r="B3">
        <v>1</v>
      </c>
      <c r="C3" t="str">
        <f>'Analítica'!B8</f>
        <v>98525</v>
      </c>
      <c r="D3" t="str">
        <f>'Analítica'!C8</f>
        <v/>
      </c>
      <c r="E3" t="str">
        <f>'Analítica'!D8</f>
        <v>Placa de obra em chapa galvanizada</v>
      </c>
      <c r="F3" t="str">
        <f>'Analítica'!E8</f>
        <v>m²</v>
      </c>
      <c r="G3" s="69">
        <f>'Analítica'!F8</f>
        <v>6</v>
      </c>
      <c r="H3" s="39">
        <f>'Analítica'!G8</f>
        <v>612</v>
      </c>
      <c r="I3" s="39">
        <f>'Analítica'!H8</f>
        <v>3672</v>
      </c>
      <c r="J3" s="39">
        <f>'Analítica'!I8</f>
        <v>770.9364</v>
      </c>
      <c r="K3" s="39">
        <f>'Analítica'!J8</f>
        <v>4625.6184</v>
      </c>
    </row>
    <row r="4" spans="1:11" x14ac:dyDescent="0.25">
      <c r="A4" t="s">
        <v>46</v>
      </c>
      <c r="B4">
        <v>2</v>
      </c>
      <c r="C4" t="str">
        <f>'Analítica'!B9</f>
        <v>99059</v>
      </c>
      <c r="D4" t="str">
        <f>'Analítica'!C9</f>
        <v/>
      </c>
      <c r="E4" t="str">
        <f>'Analítica'!D9</f>
        <v>Limpeza mecanizada do terreno</v>
      </c>
      <c r="F4" t="str">
        <f>'Analítica'!E9</f>
        <v>m²</v>
      </c>
      <c r="G4" s="69">
        <f>'Analítica'!F9</f>
        <v>120</v>
      </c>
      <c r="H4" s="39">
        <f>'Analítica'!G9</f>
        <v>5.8</v>
      </c>
      <c r="I4" s="39">
        <f>'Analítica'!H9</f>
        <v>696</v>
      </c>
      <c r="J4" s="39">
        <f>'Analítica'!I9</f>
        <v>7.30626</v>
      </c>
      <c r="K4" s="39">
        <f>'Analítica'!J9</f>
        <v>876.7512</v>
      </c>
    </row>
    <row r="5" spans="1:11" x14ac:dyDescent="0.25">
      <c r="A5" t="s">
        <v>46</v>
      </c>
      <c r="B5">
        <v>3</v>
      </c>
      <c r="C5" t="str">
        <f>'Analítica'!B10</f>
        <v>96995</v>
      </c>
      <c r="D5" t="str">
        <f>'Analítica'!C10</f>
        <v/>
      </c>
      <c r="E5" t="str">
        <f>'Analítica'!D10</f>
        <v>Locação de obra com gabarito de tábuas</v>
      </c>
      <c r="F5" t="str">
        <f>'Analítica'!E10</f>
        <v>m²</v>
      </c>
      <c r="G5" s="69">
        <f>'Analítica'!F10</f>
        <v>120</v>
      </c>
      <c r="H5" s="39">
        <f>'Analítica'!G10</f>
        <v>28.4</v>
      </c>
      <c r="I5" s="39">
        <f>'Analítica'!H10</f>
        <v>3408</v>
      </c>
      <c r="J5" s="39">
        <f>'Analítica'!I10</f>
        <v>35.77548</v>
      </c>
      <c r="K5" s="39">
        <f>'Analítica'!J10</f>
        <v>4293.0576</v>
      </c>
    </row>
    <row r="6" spans="1:11" x14ac:dyDescent="0.25">
      <c r="A6" t="s">
        <v>48</v>
      </c>
      <c r="B6">
        <v>4</v>
      </c>
      <c r="C6" t="str">
        <f>'Analítica'!B13</f>
        <v>96523</v>
      </c>
      <c r="D6" t="str">
        <f>'Analítica'!C13</f>
        <v/>
      </c>
      <c r="E6" t="str">
        <f>'Analítica'!D13</f>
        <v>Escavação manual de valas (fundação)</v>
      </c>
      <c r="F6" t="str">
        <f>'Analítica'!E13</f>
        <v>m³</v>
      </c>
      <c r="G6" s="69">
        <f>'Analítica'!F13</f>
        <v>18</v>
      </c>
      <c r="H6" s="39">
        <f>'Analítica'!G13</f>
        <v>95</v>
      </c>
      <c r="I6" s="39">
        <f>'Analítica'!H13</f>
        <v>1710</v>
      </c>
      <c r="J6" s="39">
        <f>'Analítica'!I13</f>
        <v>119.67150000000001</v>
      </c>
      <c r="K6" s="39">
        <f>'Analítica'!J13</f>
        <v>2154.087</v>
      </c>
    </row>
    <row r="7" spans="1:11" x14ac:dyDescent="0.25">
      <c r="A7" t="s">
        <v>48</v>
      </c>
      <c r="B7">
        <v>5</v>
      </c>
      <c r="C7" t="str">
        <f>'Analítica'!B14</f>
        <v>94965</v>
      </c>
      <c r="D7" t="str">
        <f>'Analítica'!C14</f>
        <v/>
      </c>
      <c r="E7" t="str">
        <f>'Analítica'!D14</f>
        <v>Concreto magro para lastro, e=5cm</v>
      </c>
      <c r="F7" t="str">
        <f>'Analítica'!E14</f>
        <v>m³</v>
      </c>
      <c r="G7" s="69">
        <f>'Analítica'!F14</f>
        <v>4</v>
      </c>
      <c r="H7" s="39">
        <f>'Analítica'!G14</f>
        <v>520</v>
      </c>
      <c r="I7" s="39">
        <f>'Analítica'!H14</f>
        <v>2080</v>
      </c>
      <c r="J7" s="39">
        <f>'Analítica'!I14</f>
        <v>655.044</v>
      </c>
      <c r="K7" s="39">
        <f>'Analítica'!J14</f>
        <v>2620.176</v>
      </c>
    </row>
    <row r="8" spans="1:11" x14ac:dyDescent="0.25">
      <c r="A8" t="s">
        <v>48</v>
      </c>
      <c r="B8">
        <v>6</v>
      </c>
      <c r="C8" t="str">
        <f>'Analítica'!B15</f>
        <v>94970</v>
      </c>
      <c r="D8" t="str">
        <f>'Analítica'!C15</f>
        <v/>
      </c>
      <c r="E8" t="str">
        <f>'Analítica'!D15</f>
        <v>Concreto usinado fck=25MPa para sapatas</v>
      </c>
      <c r="F8" t="str">
        <f>'Analítica'!E15</f>
        <v>m³</v>
      </c>
      <c r="G8" s="69">
        <f>'Analítica'!F15</f>
        <v>12</v>
      </c>
      <c r="H8" s="39">
        <f>'Analítica'!G15</f>
        <v>620</v>
      </c>
      <c r="I8" s="39">
        <f>'Analítica'!H15</f>
        <v>7440</v>
      </c>
      <c r="J8" s="39">
        <f>'Analítica'!I15</f>
        <v>781.014</v>
      </c>
      <c r="K8" s="39">
        <f>'Analítica'!J15</f>
        <v>9372.168</v>
      </c>
    </row>
    <row r="9" spans="1:11" x14ac:dyDescent="0.25">
      <c r="A9" t="s">
        <v>48</v>
      </c>
      <c r="B9">
        <v>7</v>
      </c>
      <c r="C9" t="str">
        <f>'Analítica'!B16</f>
        <v>92449</v>
      </c>
      <c r="D9" t="str">
        <f>'Analítica'!C16</f>
        <v/>
      </c>
      <c r="E9" t="str">
        <f>'Analítica'!D16</f>
        <v>Fôrma de madeira para fundação</v>
      </c>
      <c r="F9" t="str">
        <f>'Analítica'!E16</f>
        <v>m²</v>
      </c>
      <c r="G9" s="69">
        <f>'Analítica'!F16</f>
        <v>60</v>
      </c>
      <c r="H9" s="39">
        <f>'Analítica'!G16</f>
        <v>78</v>
      </c>
      <c r="I9" s="39">
        <f>'Analítica'!H16</f>
        <v>4680</v>
      </c>
      <c r="J9" s="39">
        <f>'Analítica'!I16</f>
        <v>98.2566</v>
      </c>
      <c r="K9" s="39">
        <f>'Analítica'!J16</f>
        <v>5895.396000000001</v>
      </c>
    </row>
    <row r="10" spans="1:11" x14ac:dyDescent="0.25">
      <c r="A10" t="s">
        <v>48</v>
      </c>
      <c r="B10">
        <v>8</v>
      </c>
      <c r="C10" t="str">
        <f>'Analítica'!B17</f>
        <v>92759</v>
      </c>
      <c r="D10" t="str">
        <f>'Analítica'!C17</f>
        <v/>
      </c>
      <c r="E10" t="str">
        <f>'Analítica'!D17</f>
        <v>Armação de aço CA-50 (fundação)</v>
      </c>
      <c r="F10" t="str">
        <f>'Analítica'!E17</f>
        <v>kg</v>
      </c>
      <c r="G10" s="69">
        <f>'Analítica'!F17</f>
        <v>850</v>
      </c>
      <c r="H10" s="39">
        <f>'Analítica'!G17</f>
        <v>12.4</v>
      </c>
      <c r="I10" s="39">
        <f>'Analítica'!H17</f>
        <v>10540</v>
      </c>
      <c r="J10" s="39">
        <f>'Analítica'!I17</f>
        <v>15.620280000000001</v>
      </c>
      <c r="K10" s="39">
        <f>'Analítica'!J17</f>
        <v>13277.238000000001</v>
      </c>
    </row>
    <row r="11" spans="1:11" x14ac:dyDescent="0.25">
      <c r="A11" t="s">
        <v>50</v>
      </c>
      <c r="B11">
        <v>9</v>
      </c>
      <c r="C11" t="str">
        <f>'Analítica'!B20</f>
        <v>94972</v>
      </c>
      <c r="D11" t="str">
        <f>'Analítica'!C20</f>
        <v/>
      </c>
      <c r="E11" t="str">
        <f>'Analítica'!D20</f>
        <v>Concreto usinado fck=25MPa (pilares/vigas/lajes)</v>
      </c>
      <c r="F11" t="str">
        <f>'Analítica'!E20</f>
        <v>m³</v>
      </c>
      <c r="G11" s="69">
        <f>'Analítica'!F20</f>
        <v>28</v>
      </c>
      <c r="H11" s="39">
        <f>'Analítica'!G20</f>
        <v>640</v>
      </c>
      <c r="I11" s="39">
        <f>'Analítica'!H20</f>
        <v>17920</v>
      </c>
      <c r="J11" s="39">
        <f>'Analítica'!I20</f>
        <v>806.2080000000001</v>
      </c>
      <c r="K11" s="39">
        <f>'Analítica'!J20</f>
        <v>22573.824</v>
      </c>
    </row>
    <row r="12" spans="1:11" x14ac:dyDescent="0.25">
      <c r="A12" t="s">
        <v>50</v>
      </c>
      <c r="B12">
        <v>10</v>
      </c>
      <c r="C12" t="str">
        <f>'Analítica'!B21</f>
        <v>92447</v>
      </c>
      <c r="D12" t="str">
        <f>'Analítica'!C21</f>
        <v/>
      </c>
      <c r="E12" t="str">
        <f>'Analítica'!D21</f>
        <v>Fôrma de madeira para estrutura</v>
      </c>
      <c r="F12" t="str">
        <f>'Analítica'!E21</f>
        <v>m²</v>
      </c>
      <c r="G12" s="69">
        <f>'Analítica'!F21</f>
        <v>320</v>
      </c>
      <c r="H12" s="39">
        <f>'Analítica'!G21</f>
        <v>82</v>
      </c>
      <c r="I12" s="39">
        <f>'Analítica'!H21</f>
        <v>26240</v>
      </c>
      <c r="J12" s="39">
        <f>'Analítica'!I21</f>
        <v>103.2954</v>
      </c>
      <c r="K12" s="39">
        <f>'Analítica'!J21</f>
        <v>33054.528</v>
      </c>
    </row>
    <row r="13" spans="1:11" x14ac:dyDescent="0.25">
      <c r="A13" t="s">
        <v>50</v>
      </c>
      <c r="B13">
        <v>11</v>
      </c>
      <c r="C13" t="str">
        <f>'Analítica'!B22</f>
        <v>92761</v>
      </c>
      <c r="D13" t="str">
        <f>'Analítica'!C22</f>
        <v/>
      </c>
      <c r="E13" t="str">
        <f>'Analítica'!D22</f>
        <v>Armação de aço CA-50 (estrutura)</v>
      </c>
      <c r="F13" t="str">
        <f>'Analítica'!E22</f>
        <v>kg</v>
      </c>
      <c r="G13" s="69">
        <f>'Analítica'!F22</f>
        <v>2100</v>
      </c>
      <c r="H13" s="39">
        <f>'Analítica'!G22</f>
        <v>12.4</v>
      </c>
      <c r="I13" s="39">
        <f>'Analítica'!H22</f>
        <v>26040</v>
      </c>
      <c r="J13" s="39">
        <f>'Analítica'!I22</f>
        <v>15.620280000000001</v>
      </c>
      <c r="K13" s="39">
        <f>'Analítica'!J22</f>
        <v>32802.588</v>
      </c>
    </row>
    <row r="14" spans="1:11" x14ac:dyDescent="0.25">
      <c r="A14" t="s">
        <v>50</v>
      </c>
      <c r="B14">
        <v>12</v>
      </c>
      <c r="C14" t="str">
        <f>'Analítica'!B23</f>
        <v>98557</v>
      </c>
      <c r="D14" t="str">
        <f>'Analítica'!C23</f>
        <v/>
      </c>
      <c r="E14" t="str">
        <f>'Analítica'!D23</f>
        <v>Laje pré-moldada para piso/forro</v>
      </c>
      <c r="F14" t="str">
        <f>'Analítica'!E23</f>
        <v>m²</v>
      </c>
      <c r="G14" s="69">
        <f>'Analítica'!F23</f>
        <v>90</v>
      </c>
      <c r="H14" s="39">
        <f>'Analítica'!G23</f>
        <v>145</v>
      </c>
      <c r="I14" s="39">
        <f>'Analítica'!H23</f>
        <v>13050</v>
      </c>
      <c r="J14" s="39">
        <f>'Analítica'!I23</f>
        <v>182.6565</v>
      </c>
      <c r="K14" s="39">
        <f>'Analítica'!J23</f>
        <v>16439.085</v>
      </c>
    </row>
    <row r="15" spans="1:11" x14ac:dyDescent="0.25">
      <c r="A15" t="s">
        <v>52</v>
      </c>
      <c r="B15">
        <v>13</v>
      </c>
      <c r="C15" t="str">
        <f>'Analítica'!B26</f>
        <v>103333</v>
      </c>
      <c r="D15" t="str">
        <f>'Analítica'!C26</f>
        <v/>
      </c>
      <c r="E15" t="str">
        <f>'Analítica'!D26</f>
        <v>Alvenaria de bloco cerâmico 14x19x29cm</v>
      </c>
      <c r="F15" t="str">
        <f>'Analítica'!E26</f>
        <v>m²</v>
      </c>
      <c r="G15" s="69">
        <f>'Analítica'!F26</f>
        <v>240</v>
      </c>
      <c r="H15" s="39">
        <f>'Analítica'!G26</f>
        <v>78</v>
      </c>
      <c r="I15" s="39">
        <f>'Analítica'!H26</f>
        <v>18720</v>
      </c>
      <c r="J15" s="39">
        <f>'Analítica'!I26</f>
        <v>98.2566</v>
      </c>
      <c r="K15" s="39">
        <f>'Analítica'!J26</f>
        <v>23581.584000000003</v>
      </c>
    </row>
    <row r="16" spans="1:11" x14ac:dyDescent="0.25">
      <c r="A16" t="s">
        <v>52</v>
      </c>
      <c r="B16">
        <v>14</v>
      </c>
      <c r="C16" t="str">
        <f>'Analítica'!B27</f>
        <v>93183</v>
      </c>
      <c r="D16" t="str">
        <f>'Analítica'!C27</f>
        <v/>
      </c>
      <c r="E16" t="str">
        <f>'Analítica'!D27</f>
        <v>Vergas e contravergas em concreto armado</v>
      </c>
      <c r="F16" t="str">
        <f>'Analítica'!E27</f>
        <v>m</v>
      </c>
      <c r="G16" s="69">
        <f>'Analítica'!F27</f>
        <v>40</v>
      </c>
      <c r="H16" s="39">
        <f>'Analítica'!G27</f>
        <v>38</v>
      </c>
      <c r="I16" s="39">
        <f>'Analítica'!H27</f>
        <v>1520</v>
      </c>
      <c r="J16" s="39">
        <f>'Analítica'!I27</f>
        <v>47.8686</v>
      </c>
      <c r="K16" s="39">
        <f>'Analítica'!J27</f>
        <v>1914.7440000000001</v>
      </c>
    </row>
    <row r="17" spans="1:11" x14ac:dyDescent="0.25">
      <c r="A17" t="s">
        <v>54</v>
      </c>
      <c r="B17">
        <v>15</v>
      </c>
      <c r="C17" t="str">
        <f>'Analítica'!B30</f>
        <v>92541</v>
      </c>
      <c r="D17" t="str">
        <f>'Analítica'!C30</f>
        <v/>
      </c>
      <c r="E17" t="str">
        <f>'Analítica'!D30</f>
        <v>Estrutura de madeira para telha cerâmica</v>
      </c>
      <c r="F17" t="str">
        <f>'Analítica'!E30</f>
        <v>m²</v>
      </c>
      <c r="G17" s="69">
        <f>'Analítica'!F30</f>
        <v>150</v>
      </c>
      <c r="H17" s="39">
        <f>'Analítica'!G30</f>
        <v>92</v>
      </c>
      <c r="I17" s="39">
        <f>'Analítica'!H30</f>
        <v>13800</v>
      </c>
      <c r="J17" s="39">
        <f>'Analítica'!I30</f>
        <v>115.89240000000001</v>
      </c>
      <c r="K17" s="39">
        <f>'Analítica'!J30</f>
        <v>17383.86</v>
      </c>
    </row>
    <row r="18" spans="1:11" x14ac:dyDescent="0.25">
      <c r="A18" t="s">
        <v>54</v>
      </c>
      <c r="B18">
        <v>16</v>
      </c>
      <c r="C18" t="str">
        <f>'Analítica'!B31</f>
        <v>94216</v>
      </c>
      <c r="D18" t="str">
        <f>'Analítica'!C31</f>
        <v/>
      </c>
      <c r="E18" t="str">
        <f>'Analítica'!D31</f>
        <v>Telha cerâmica tipo portuguesa</v>
      </c>
      <c r="F18" t="str">
        <f>'Analítica'!E31</f>
        <v>m²</v>
      </c>
      <c r="G18" s="69">
        <f>'Analítica'!F31</f>
        <v>150</v>
      </c>
      <c r="H18" s="39">
        <f>'Analítica'!G31</f>
        <v>48</v>
      </c>
      <c r="I18" s="39">
        <f>'Analítica'!H31</f>
        <v>7200</v>
      </c>
      <c r="J18" s="39">
        <f>'Analítica'!I31</f>
        <v>60.4656</v>
      </c>
      <c r="K18" s="39">
        <f>'Analítica'!J31</f>
        <v>9069.84</v>
      </c>
    </row>
    <row r="19" spans="1:11" x14ac:dyDescent="0.25">
      <c r="A19" t="s">
        <v>56</v>
      </c>
      <c r="B19">
        <v>17</v>
      </c>
      <c r="C19" t="str">
        <f>'Analítica'!B34</f>
        <v>87905</v>
      </c>
      <c r="D19" t="str">
        <f>'Analítica'!C34</f>
        <v/>
      </c>
      <c r="E19" t="str">
        <f>'Analítica'!D34</f>
        <v>Chapisco em paredes internas/externas</v>
      </c>
      <c r="F19" t="str">
        <f>'Analítica'!E34</f>
        <v>m²</v>
      </c>
      <c r="G19" s="69">
        <f>'Analítica'!F34</f>
        <v>480</v>
      </c>
      <c r="H19" s="39">
        <f>'Analítica'!G34</f>
        <v>9.8</v>
      </c>
      <c r="I19" s="39">
        <f>'Analítica'!H34</f>
        <v>4704</v>
      </c>
      <c r="J19" s="39">
        <f>'Analítica'!I34</f>
        <v>12.345060000000002</v>
      </c>
      <c r="K19" s="39">
        <f>'Analítica'!J34</f>
        <v>5925.628800000001</v>
      </c>
    </row>
    <row r="20" spans="1:11" x14ac:dyDescent="0.25">
      <c r="A20" t="s">
        <v>56</v>
      </c>
      <c r="B20">
        <v>18</v>
      </c>
      <c r="C20" t="str">
        <f>'Analítica'!B35</f>
        <v>87529</v>
      </c>
      <c r="D20" t="str">
        <f>'Analítica'!C35</f>
        <v/>
      </c>
      <c r="E20" t="str">
        <f>'Analítica'!D35</f>
        <v>Massa única (reboco) para recebimento de pintura</v>
      </c>
      <c r="F20" t="str">
        <f>'Analítica'!E35</f>
        <v>m²</v>
      </c>
      <c r="G20" s="69">
        <f>'Analítica'!F35</f>
        <v>480</v>
      </c>
      <c r="H20" s="39">
        <f>'Analítica'!G35</f>
        <v>38</v>
      </c>
      <c r="I20" s="39">
        <f>'Analítica'!H35</f>
        <v>18240</v>
      </c>
      <c r="J20" s="39">
        <f>'Analítica'!I35</f>
        <v>47.8686</v>
      </c>
      <c r="K20" s="39">
        <f>'Analítica'!J35</f>
        <v>22976.928</v>
      </c>
    </row>
    <row r="21" spans="1:11" x14ac:dyDescent="0.25">
      <c r="A21" t="s">
        <v>56</v>
      </c>
      <c r="B21">
        <v>19</v>
      </c>
      <c r="C21" t="str">
        <f>'Analítica'!B36</f>
        <v>87703</v>
      </c>
      <c r="D21" t="str">
        <f>'Analítica'!C36</f>
        <v/>
      </c>
      <c r="E21" t="str">
        <f>'Analítica'!D36</f>
        <v>Contrapiso em argamassa, e=4cm</v>
      </c>
      <c r="F21" t="str">
        <f>'Analítica'!E36</f>
        <v>m²</v>
      </c>
      <c r="G21" s="69">
        <f>'Analítica'!F36</f>
        <v>120</v>
      </c>
      <c r="H21" s="39">
        <f>'Analítica'!G36</f>
        <v>42</v>
      </c>
      <c r="I21" s="39">
        <f>'Analítica'!H36</f>
        <v>5040</v>
      </c>
      <c r="J21" s="39">
        <f>'Analítica'!I36</f>
        <v>52.9074</v>
      </c>
      <c r="K21" s="39">
        <f>'Analítica'!J36</f>
        <v>6348.888</v>
      </c>
    </row>
    <row r="22" spans="1:11" x14ac:dyDescent="0.25">
      <c r="A22" t="s">
        <v>56</v>
      </c>
      <c r="B22">
        <v>20</v>
      </c>
      <c r="C22" t="str">
        <f>'Analítica'!B37</f>
        <v>87263</v>
      </c>
      <c r="D22" t="str">
        <f>'Analítica'!C37</f>
        <v/>
      </c>
      <c r="E22" t="str">
        <f>'Analítica'!D37</f>
        <v>Revestimento cerâmico (porcelanato) para piso</v>
      </c>
      <c r="F22" t="str">
        <f>'Analítica'!E37</f>
        <v>m²</v>
      </c>
      <c r="G22" s="69">
        <f>'Analítica'!F37</f>
        <v>120</v>
      </c>
      <c r="H22" s="39">
        <f>'Analítica'!G37</f>
        <v>118</v>
      </c>
      <c r="I22" s="39">
        <f>'Analítica'!H37</f>
        <v>14160</v>
      </c>
      <c r="J22" s="39">
        <f>'Analítica'!I37</f>
        <v>148.6446</v>
      </c>
      <c r="K22" s="39">
        <f>'Analítica'!J37</f>
        <v>17837.352</v>
      </c>
    </row>
    <row r="23" spans="1:11" x14ac:dyDescent="0.25">
      <c r="A23" t="s">
        <v>56</v>
      </c>
      <c r="B23">
        <v>21</v>
      </c>
      <c r="C23" t="str">
        <f>'Analítica'!B38</f>
        <v>88489</v>
      </c>
      <c r="D23" t="str">
        <f>'Analítica'!C38</f>
        <v/>
      </c>
      <c r="E23" t="str">
        <f>'Analítica'!D38</f>
        <v>Pintura látex acrílica, 2 demãos</v>
      </c>
      <c r="F23" t="str">
        <f>'Analítica'!E38</f>
        <v>m²</v>
      </c>
      <c r="G23" s="69">
        <f>'Analítica'!F38</f>
        <v>480</v>
      </c>
      <c r="H23" s="39">
        <f>'Analítica'!G38</f>
        <v>26</v>
      </c>
      <c r="I23" s="39">
        <f>'Analítica'!H38</f>
        <v>12480</v>
      </c>
      <c r="J23" s="39">
        <f>'Analítica'!I38</f>
        <v>32.7522</v>
      </c>
      <c r="K23" s="39">
        <f>'Analítica'!J38</f>
        <v>15721.056</v>
      </c>
    </row>
    <row r="24" spans="1:11" x14ac:dyDescent="0.25">
      <c r="A24" t="s">
        <v>56</v>
      </c>
      <c r="B24">
        <v>22</v>
      </c>
      <c r="C24" t="str">
        <f>'Analítica'!B39</f>
        <v>87275</v>
      </c>
      <c r="D24" t="str">
        <f>'Analítica'!C39</f>
        <v/>
      </c>
      <c r="E24" t="str">
        <f>'Analítica'!D39</f>
        <v>Revestimento cerâmico de parede (áreas molhadas)</v>
      </c>
      <c r="F24" t="str">
        <f>'Analítica'!E39</f>
        <v>m²</v>
      </c>
      <c r="G24" s="69">
        <f>'Analítica'!F39</f>
        <v>60</v>
      </c>
      <c r="H24" s="39">
        <f>'Analítica'!G39</f>
        <v>85</v>
      </c>
      <c r="I24" s="39">
        <f>'Analítica'!H39</f>
        <v>5100</v>
      </c>
      <c r="J24" s="39">
        <f>'Analítica'!I39</f>
        <v>107.0745</v>
      </c>
      <c r="K24" s="39">
        <f>'Analítica'!J39</f>
        <v>6424.47</v>
      </c>
    </row>
    <row r="25" spans="1:11" x14ac:dyDescent="0.25">
      <c r="A25" t="s">
        <v>58</v>
      </c>
      <c r="B25">
        <v>23</v>
      </c>
      <c r="C25" t="str">
        <f>'Analítica'!B42</f>
        <v>89714</v>
      </c>
      <c r="D25" t="str">
        <f>'Analítica'!C42</f>
        <v/>
      </c>
      <c r="E25" t="str">
        <f>'Analítica'!D42</f>
        <v>Ponto de instalação hidrossanitária</v>
      </c>
      <c r="F25" t="str">
        <f>'Analítica'!E42</f>
        <v>pto</v>
      </c>
      <c r="G25" s="69">
        <f>'Analítica'!F42</f>
        <v>28</v>
      </c>
      <c r="H25" s="39">
        <f>'Analítica'!G42</f>
        <v>185</v>
      </c>
      <c r="I25" s="39">
        <f>'Analítica'!H42</f>
        <v>5180</v>
      </c>
      <c r="J25" s="39">
        <f>'Analítica'!I42</f>
        <v>233.0445</v>
      </c>
      <c r="K25" s="39">
        <f>'Analítica'!J42</f>
        <v>6525.246</v>
      </c>
    </row>
    <row r="26" spans="1:11" x14ac:dyDescent="0.25">
      <c r="A26" t="s">
        <v>58</v>
      </c>
      <c r="B26">
        <v>24</v>
      </c>
      <c r="C26" t="str">
        <f>'Analítica'!B43</f>
        <v>93128</v>
      </c>
      <c r="D26" t="str">
        <f>'Analítica'!C43</f>
        <v/>
      </c>
      <c r="E26" t="str">
        <f>'Analítica'!D43</f>
        <v>Ponto de instalação elétrica</v>
      </c>
      <c r="F26" t="str">
        <f>'Analítica'!E43</f>
        <v>pto</v>
      </c>
      <c r="G26" s="69">
        <f>'Analítica'!F43</f>
        <v>42</v>
      </c>
      <c r="H26" s="39">
        <f>'Analítica'!G43</f>
        <v>142</v>
      </c>
      <c r="I26" s="39">
        <f>'Analítica'!H43</f>
        <v>5964</v>
      </c>
      <c r="J26" s="39">
        <f>'Analítica'!I43</f>
        <v>178.8774</v>
      </c>
      <c r="K26" s="39">
        <f>'Analítica'!J43</f>
        <v>7512.8508</v>
      </c>
    </row>
    <row r="27" spans="1:11" x14ac:dyDescent="0.25">
      <c r="A27" t="s">
        <v>58</v>
      </c>
      <c r="B27">
        <v>25</v>
      </c>
      <c r="C27" t="str">
        <f>'Analítica'!B44</f>
        <v>—</v>
      </c>
      <c r="D27" t="str">
        <f>'Analítica'!C44</f>
        <v/>
      </c>
      <c r="E27" t="str">
        <f>'Analítica'!D44</f>
        <v>Louças, metais e acessórios (verba)</v>
      </c>
      <c r="F27" t="str">
        <f>'Analítica'!E44</f>
        <v>vb</v>
      </c>
      <c r="G27" s="69">
        <f>'Analítica'!F44</f>
        <v>1</v>
      </c>
      <c r="H27" s="39">
        <f>'Analítica'!G44</f>
        <v>6800</v>
      </c>
      <c r="I27" s="39">
        <f>'Analítica'!H44</f>
        <v>6800</v>
      </c>
      <c r="J27" s="39">
        <f>'Analítica'!I44</f>
        <v>8565.960000000001</v>
      </c>
      <c r="K27" s="39">
        <f>'Analítica'!J44</f>
        <v>8565.960000000001</v>
      </c>
    </row>
  </sheetData>
  <pageMargins left="0.4" right="0.4" top="0.55" bottom="0.55" header="0.2" footer="0.25"/>
  <pageSetup paperSize="9" orientation="landscape" fitToWidth="1" fitToHeight="0"/>
  <headerFooter>
    <oddFooter>&amp;L&amp;8OrçaPRO — ORC-2026-0820&amp;C&amp;8Construtora Modelo Ltda&amp;R&amp;8Pág. &amp;P de &amp;N</oddFooter>
  </headerFooter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6A34A"/>
    <pageSetUpPr fitToPage="1"/>
  </sheetPr>
  <dimension ref="A1:A24"/>
  <sheetFormatPr defaultRowHeight="15" outlineLevelRow="0" outlineLevelCol="0" x14ac:dyDescent="55"/>
  <cols>
    <col min="1" max="1" width="110" customWidth="1"/>
  </cols>
  <sheetData>
    <row r="1" spans="1:1" x14ac:dyDescent="0.25">
      <c r="A1" s="70" t="s">
        <v>230</v>
      </c>
    </row>
    <row r="2" spans="1:1" x14ac:dyDescent="0.25">
      <c r="A2" s="71" t="s">
        <v>231</v>
      </c>
    </row>
    <row r="3" spans="1:1" x14ac:dyDescent="0.25">
      <c r="A3" s="72" t="s">
        <v>232</v>
      </c>
    </row>
    <row r="4" spans="1:1" x14ac:dyDescent="0.25">
      <c r="A4" s="73" t="s">
        <v>233</v>
      </c>
    </row>
    <row r="5" spans="1:1" x14ac:dyDescent="0.25">
      <c r="A5" s="72" t="s">
        <v>234</v>
      </c>
    </row>
    <row r="6" spans="1:1" x14ac:dyDescent="0.25">
      <c r="A6" s="72" t="s">
        <v>235</v>
      </c>
    </row>
    <row r="7" spans="1:1" x14ac:dyDescent="0.25">
      <c r="A7" s="72" t="s">
        <v>236</v>
      </c>
    </row>
    <row r="8" spans="1:1" x14ac:dyDescent="0.25">
      <c r="A8" s="72" t="s">
        <v>237</v>
      </c>
    </row>
    <row r="9" spans="1:1" x14ac:dyDescent="0.25">
      <c r="A9" s="72" t="s">
        <v>232</v>
      </c>
    </row>
    <row r="10" spans="1:1" x14ac:dyDescent="0.25">
      <c r="A10" s="72" t="s">
        <v>238</v>
      </c>
    </row>
    <row r="11" spans="1:1" x14ac:dyDescent="0.25">
      <c r="A11" s="72" t="s">
        <v>239</v>
      </c>
    </row>
    <row r="12" spans="1:1" x14ac:dyDescent="0.25">
      <c r="A12" s="72" t="s">
        <v>232</v>
      </c>
    </row>
    <row r="13" spans="1:1" x14ac:dyDescent="0.25">
      <c r="A13" s="72" t="s">
        <v>240</v>
      </c>
    </row>
    <row r="14" spans="1:1" x14ac:dyDescent="0.25">
      <c r="A14" s="72" t="s">
        <v>241</v>
      </c>
    </row>
    <row r="15" spans="1:1" x14ac:dyDescent="0.25">
      <c r="A15" s="72" t="s">
        <v>232</v>
      </c>
    </row>
    <row r="16" spans="1:1" x14ac:dyDescent="0.25">
      <c r="A16" s="72" t="s">
        <v>242</v>
      </c>
    </row>
    <row r="17" spans="1:1" x14ac:dyDescent="0.25">
      <c r="A17" s="72" t="s">
        <v>232</v>
      </c>
    </row>
    <row r="18" spans="1:1" x14ac:dyDescent="0.25">
      <c r="A18" s="72" t="s">
        <v>243</v>
      </c>
    </row>
    <row r="19" spans="1:1" x14ac:dyDescent="0.25">
      <c r="A19" s="72" t="s">
        <v>244</v>
      </c>
    </row>
    <row r="20" spans="1:1" x14ac:dyDescent="0.25">
      <c r="A20" s="72" t="s">
        <v>245</v>
      </c>
    </row>
    <row r="21" spans="1:1" x14ac:dyDescent="0.25">
      <c r="A21" s="72" t="s">
        <v>232</v>
      </c>
    </row>
    <row r="22" spans="1:1" x14ac:dyDescent="0.25">
      <c r="A22" s="72" t="s">
        <v>246</v>
      </c>
    </row>
    <row r="23" spans="1:1" x14ac:dyDescent="0.25">
      <c r="A23" s="72" t="s">
        <v>247</v>
      </c>
    </row>
    <row r="24" spans="1:1" x14ac:dyDescent="0.25">
      <c r="A24" s="72" t="s">
        <v>248</v>
      </c>
    </row>
  </sheetData>
  <sheetProtection sheet="1" sort="0" autoFilter="0" algorithmName="SHA-512" hashValue="ZvoMWQi4GABkXYqgguYLktkPcRiiSTF68Ui04xlkRlC+HqWpNDdsE90dtG3U4qWfD/gyRloesqo0us+0dM1O2w==" saltValue="BIn7t5md57937bIbu2R6Hg==" spinCount="100000"/>
  <pageMargins left="0.4" right="0.4" top="0.55" bottom="0.55" header="0.2" footer="0.25"/>
  <pageSetup paperSize="9" orientation="portrait" fitToWidth="1" fitToHeight="0"/>
  <headerFooter>
    <oddFooter>&amp;L&amp;8OrçaPRO — ORC-2026-0820&amp;C&amp;8Construtora Modelo Ltda&amp;R&amp;8Pág.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Resumo</vt:lpstr>
      <vt:lpstr>Sintética</vt:lpstr>
      <vt:lpstr>Analítica</vt:lpstr>
      <vt:lpstr>Parâmetros</vt:lpstr>
      <vt:lpstr>Curva ABC</vt:lpstr>
      <vt:lpstr>Cronograma</vt:lpstr>
      <vt:lpstr>Gantt</vt:lpstr>
      <vt:lpstr>Dados IA</vt:lpstr>
      <vt:lpstr>Leia-me</vt:lpstr>
      <vt:lpstr>_meta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OrçaPRO — RA Engenharia</dc:creator>
  <dc:title/>
  <dc:subject/>
  <dc:description/>
  <cp:keywords/>
  <cp:category/>
  <cp:lastModifiedBy>Unknown</cp:lastModifiedBy>
  <dcterms:created xsi:type="dcterms:W3CDTF">2026-07-07T03:40:23Z</dcterms:created>
  <dcterms:modified xsi:type="dcterms:W3CDTF">2026-07-07T03:40:23Z</dcterms:modified>
</cp:coreProperties>
</file>